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☆茶道専門部\京総文\R8渉成園\"/>
    </mc:Choice>
  </mc:AlternateContent>
  <xr:revisionPtr revIDLastSave="0" documentId="13_ncr:1_{DBA285EE-10B2-48C3-B47F-5C47C1C547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　茶道参加申込書" sheetId="4" r:id="rId1"/>
    <sheet name="様式２　紹介文入力シート" sheetId="1" r:id="rId2"/>
    <sheet name="事務局作業用" sheetId="5" state="hidden" r:id="rId3"/>
    <sheet name="印字シート" sheetId="2" state="hidden" r:id="rId4"/>
    <sheet name="バック" sheetId="3" state="hidden" r:id="rId5"/>
  </sheets>
  <definedNames>
    <definedName name="_xlnm.Print_Area" localSheetId="3">印字シート!$B$1:$U$33</definedName>
    <definedName name="_xlnm.Print_Area" localSheetId="0">'様式１　茶道参加申込書'!$A$1:$AM$33</definedName>
    <definedName name="_xlnm.Print_Area" localSheetId="1">'様式２　紹介文入力シート'!$A$1:$AJ$38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0" i="4" l="1"/>
  <c r="G20" i="4" s="1"/>
  <c r="F30" i="4" l="1"/>
  <c r="F4" i="5"/>
  <c r="E4" i="5"/>
  <c r="D4" i="5"/>
  <c r="C4" i="5"/>
  <c r="B4" i="5"/>
  <c r="F8" i="1"/>
  <c r="F9" i="1"/>
  <c r="U32" i="2" l="1"/>
  <c r="T32" i="2"/>
  <c r="S32" i="2"/>
  <c r="R32" i="2"/>
  <c r="Q32" i="2"/>
  <c r="P32" i="2"/>
  <c r="O32" i="2"/>
  <c r="N32" i="2"/>
  <c r="M32" i="2"/>
  <c r="L32" i="2"/>
  <c r="K32" i="2"/>
  <c r="N5" i="2"/>
  <c r="N6" i="2"/>
  <c r="D6" i="2"/>
  <c r="M4" i="2"/>
  <c r="L8" i="2" l="1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L8" i="3"/>
  <c r="D8" i="3"/>
  <c r="D7" i="3"/>
  <c r="D6" i="3"/>
  <c r="N5" i="3"/>
  <c r="D5" i="3"/>
  <c r="M4" i="3"/>
  <c r="J32" i="2"/>
  <c r="I32" i="2"/>
  <c r="H32" i="2"/>
  <c r="G32" i="2"/>
  <c r="F32" i="2"/>
  <c r="E32" i="2"/>
  <c r="D32" i="2"/>
  <c r="C32" i="2"/>
  <c r="B32" i="2"/>
  <c r="D5" i="2"/>
  <c r="AF16" i="1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T24" i="2"/>
  <c r="U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<sst xmlns="http://schemas.openxmlformats.org/spreadsheetml/2006/main" count="107" uniqueCount="88">
  <si>
    <t>字数→</t>
    <rPh sb="0" eb="2">
      <t>じすう</t>
    </rPh>
    <phoneticPr fontId="2" type="Hiragana" alignment="distributed"/>
  </si>
  <si>
    <t>←ふりがな入力欄</t>
    <rPh sb="5" eb="7">
      <t>ニュウリョク</t>
    </rPh>
    <rPh sb="7" eb="8">
      <t>ラン</t>
    </rPh>
    <phoneticPr fontId="2"/>
  </si>
  <si>
    <t>ふりがな</t>
    <phoneticPr fontId="16"/>
  </si>
  <si>
    <t>学校名</t>
    <rPh sb="0" eb="3">
      <t>ガッコウメイ</t>
    </rPh>
    <phoneticPr fontId="16"/>
  </si>
  <si>
    <t>－</t>
    <phoneticPr fontId="16"/>
  </si>
  <si>
    <t>引率責任者</t>
    <rPh sb="0" eb="2">
      <t>インソツ</t>
    </rPh>
    <rPh sb="2" eb="5">
      <t>セキニンシャ</t>
    </rPh>
    <phoneticPr fontId="16"/>
  </si>
  <si>
    <t>※</t>
    <phoneticPr fontId="2" type="Hiragana" alignment="distributed"/>
  </si>
  <si>
    <t>部分に入力してください。</t>
    <rPh sb="0" eb="2">
      <t>ぶぶん</t>
    </rPh>
    <rPh sb="3" eb="5">
      <t>にゅうりょく</t>
    </rPh>
    <phoneticPr fontId="2" type="Hiragana" alignment="distributed"/>
  </si>
  <si>
    <t>８８１５</t>
    <phoneticPr fontId="2" type="Hiragana" alignment="distributed"/>
  </si>
  <si>
    <t>↓記入しないでください</t>
    <rPh sb="1" eb="3">
      <t>キニュウ</t>
    </rPh>
    <phoneticPr fontId="2"/>
  </si>
  <si>
    <t>ふりがな</t>
    <phoneticPr fontId="2"/>
  </si>
  <si>
    <t>学校名</t>
    <rPh sb="0" eb="3">
      <t>ガッコウメイ</t>
    </rPh>
    <phoneticPr fontId="2"/>
  </si>
  <si>
    <t>※</t>
    <phoneticPr fontId="2" type="Hiragana" alignment="distributed"/>
  </si>
  <si>
    <t>数字は半角で入力してください。</t>
    <rPh sb="0" eb="2">
      <t>すうじ</t>
    </rPh>
    <rPh sb="3" eb="5">
      <t>はんかく</t>
    </rPh>
    <rPh sb="6" eb="8">
      <t>にゅうりょく</t>
    </rPh>
    <phoneticPr fontId="2" type="Hiragana" alignment="distributed"/>
  </si>
  <si>
    <t>記載責任者</t>
    <rPh sb="0" eb="2">
      <t>キサイ</t>
    </rPh>
    <rPh sb="2" eb="5">
      <t>セキニンシャ</t>
    </rPh>
    <phoneticPr fontId="16"/>
  </si>
  <si>
    <t>200字</t>
    <rPh sb="3" eb="4">
      <t>ジ</t>
    </rPh>
    <phoneticPr fontId="2"/>
  </si>
  <si>
    <t>学校・団体紹介文</t>
    <rPh sb="0" eb="2">
      <t>ガッコウ</t>
    </rPh>
    <rPh sb="3" eb="5">
      <t>ダンタイ</t>
    </rPh>
    <rPh sb="5" eb="8">
      <t>ショウカイブン</t>
    </rPh>
    <phoneticPr fontId="2"/>
  </si>
  <si>
    <t>茶道部門 学校紹介文</t>
    <rPh sb="0" eb="2">
      <t>サドウ</t>
    </rPh>
    <rPh sb="2" eb="4">
      <t>ブモン</t>
    </rPh>
    <rPh sb="5" eb="7">
      <t>ガッコウ</t>
    </rPh>
    <rPh sb="7" eb="9">
      <t>ショウカイ</t>
    </rPh>
    <rPh sb="9" eb="10">
      <t>ブン</t>
    </rPh>
    <phoneticPr fontId="2"/>
  </si>
  <si>
    <t>学校紹介文</t>
    <rPh sb="0" eb="2">
      <t>ガッコウ</t>
    </rPh>
    <rPh sb="2" eb="5">
      <t>ショウカイブン</t>
    </rPh>
    <phoneticPr fontId="2"/>
  </si>
  <si>
    <t>茶道部門　学校紹介文</t>
    <rPh sb="0" eb="2">
      <t>さどう</t>
    </rPh>
    <rPh sb="2" eb="4">
      <t>ぶもん</t>
    </rPh>
    <rPh sb="5" eb="7">
      <t>がっこう</t>
    </rPh>
    <rPh sb="7" eb="9">
      <t>しょうかい</t>
    </rPh>
    <rPh sb="9" eb="10">
      <t>ぶん</t>
    </rPh>
    <phoneticPr fontId="2" type="Hiragana" alignment="distributed"/>
  </si>
  <si>
    <t>整理番号</t>
    <rPh sb="0" eb="2">
      <t>セイリ</t>
    </rPh>
    <rPh sb="2" eb="4">
      <t>バンゴウ</t>
    </rPh>
    <phoneticPr fontId="2"/>
  </si>
  <si>
    <t>茶道部門　学校紹介文</t>
    <rPh sb="0" eb="2">
      <t>サドウ</t>
    </rPh>
    <rPh sb="2" eb="4">
      <t>ブモン</t>
    </rPh>
    <rPh sb="5" eb="7">
      <t>ガッコウ</t>
    </rPh>
    <rPh sb="7" eb="9">
      <t>ショウカイ</t>
    </rPh>
    <rPh sb="9" eb="10">
      <t>ブン</t>
    </rPh>
    <phoneticPr fontId="2"/>
  </si>
  <si>
    <t>整理番号</t>
    <rPh sb="0" eb="2">
      <t>セイリ</t>
    </rPh>
    <rPh sb="2" eb="4">
      <t>バンゴウ</t>
    </rPh>
    <phoneticPr fontId="19"/>
  </si>
  <si>
    <t>↓200字以内で</t>
    <rPh sb="4" eb="5">
      <t>じ</t>
    </rPh>
    <rPh sb="5" eb="7">
      <t>いない</t>
    </rPh>
    <phoneticPr fontId="2" type="Hiragana" alignment="distributed"/>
  </si>
  <si>
    <t>（様式２）</t>
    <rPh sb="1" eb="3">
      <t>ヨウシキ</t>
    </rPh>
    <phoneticPr fontId="2"/>
  </si>
  <si>
    <t>（様式２）</t>
    <rPh sb="1" eb="3">
      <t>ようしき</t>
    </rPh>
    <phoneticPr fontId="2" type="Hiragana" alignment="distributed"/>
  </si>
  <si>
    <t>第40回京都府高等学校総合文化祭</t>
    <rPh sb="4" eb="7">
      <t>キョウトフ</t>
    </rPh>
    <phoneticPr fontId="2"/>
  </si>
  <si>
    <t>（様式１）</t>
    <rPh sb="1" eb="3">
      <t>ヨウシキ</t>
    </rPh>
    <phoneticPr fontId="2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</si>
  <si>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2"/>
  </si>
  <si>
    <t>茶道部門　参加申込書</t>
    <rPh sb="0" eb="2">
      <t>サドウ</t>
    </rPh>
    <rPh sb="2" eb="4">
      <t>ブモン</t>
    </rPh>
    <rPh sb="5" eb="7">
      <t>サンカ</t>
    </rPh>
    <rPh sb="7" eb="10">
      <t>モウシコミショ</t>
    </rPh>
    <phoneticPr fontId="2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</si>
  <si>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2"/>
  </si>
  <si>
    <t>←</t>
    <phoneticPr fontId="2"/>
  </si>
  <si>
    <t>のセルにのみ入力してください。</t>
    <rPh sb="6" eb="8">
      <t>ニュウリョク</t>
    </rPh>
    <phoneticPr fontId="2"/>
  </si>
  <si>
    <t>学校名</t>
    <rPh sb="0" eb="2">
      <t>ガッコウ</t>
    </rPh>
    <rPh sb="2" eb="3">
      <t>メイ</t>
    </rPh>
    <phoneticPr fontId="2"/>
  </si>
  <si>
    <t>・学校名は正式名称を入力してください。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2"/>
  </si>
  <si>
    <t>学校所在地</t>
    <rPh sb="0" eb="2">
      <t>ガッコウ</t>
    </rPh>
    <rPh sb="2" eb="5">
      <t>ショザイチ</t>
    </rPh>
    <phoneticPr fontId="2"/>
  </si>
  <si>
    <t>〒</t>
    <phoneticPr fontId="2"/>
  </si>
  <si>
    <t>－</t>
    <phoneticPr fontId="2"/>
  </si>
  <si>
    <t>・郵便番号は半角で入力してください。</t>
    <rPh sb="1" eb="5">
      <t>ユウビンバンゴウ</t>
    </rPh>
    <rPh sb="6" eb="8">
      <t>ハンカク</t>
    </rPh>
    <rPh sb="9" eb="11">
      <t>ニュウリョク</t>
    </rPh>
    <phoneticPr fontId="2"/>
  </si>
  <si>
    <t>・TEL、FAXﾅﾝﾊﾞｰは半角で○○○－○○－○○○</t>
    <rPh sb="14" eb="16">
      <t>ハンカク</t>
    </rPh>
    <phoneticPr fontId="2"/>
  </si>
  <si>
    <t>TEL</t>
    <phoneticPr fontId="2"/>
  </si>
  <si>
    <t>　の形で入力してください。</t>
    <rPh sb="2" eb="3">
      <t>カタチ</t>
    </rPh>
    <rPh sb="4" eb="6">
      <t>ニュウリョク</t>
    </rPh>
    <phoneticPr fontId="2"/>
  </si>
  <si>
    <t>緊急時連絡先（携帯電話等）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</si>
  <si>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</si>
  <si>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・緊急時連絡先は半角で上記TEL、ＦＡＸと同じように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2"/>
  </si>
  <si>
    <t>　入力してください。</t>
    <rPh sb="1" eb="3">
      <t>ニュウリョク</t>
    </rPh>
    <phoneticPr fontId="2"/>
  </si>
  <si>
    <t>E-mail</t>
    <phoneticPr fontId="2"/>
  </si>
  <si>
    <t>・E-mailは、半角で入力してください。</t>
    <rPh sb="9" eb="11">
      <t>ハンカク</t>
    </rPh>
    <rPh sb="12" eb="14">
      <t>ニュウリョク</t>
    </rPh>
    <phoneticPr fontId="2"/>
  </si>
  <si>
    <t>参加者数</t>
    <rPh sb="0" eb="4">
      <t>サンカシャスウ</t>
    </rPh>
    <phoneticPr fontId="2"/>
  </si>
  <si>
    <t>参加者総数</t>
    <rPh sb="0" eb="3">
      <t>サンカシャ</t>
    </rPh>
    <rPh sb="3" eb="5">
      <t>ソウスウ</t>
    </rPh>
    <phoneticPr fontId="2"/>
  </si>
  <si>
    <t>内
訳</t>
    <rPh sb="0" eb="1">
      <t>ナイ</t>
    </rPh>
    <rPh sb="2" eb="3">
      <t>ヤク</t>
    </rPh>
    <phoneticPr fontId="2"/>
  </si>
  <si>
    <t>名</t>
    <rPh sb="0" eb="1">
      <t>メイ</t>
    </rPh>
    <phoneticPr fontId="2"/>
  </si>
  <si>
    <t>備考</t>
    <rPh sb="0" eb="2">
      <t>ビコウ</t>
    </rPh>
    <phoneticPr fontId="2"/>
  </si>
  <si>
    <t>・連絡事項等がある場合は備考欄にご入力ください。</t>
    <rPh sb="1" eb="3">
      <t>レンラク</t>
    </rPh>
    <rPh sb="3" eb="5">
      <t>ジコウ</t>
    </rPh>
    <rPh sb="5" eb="6">
      <t>トウ</t>
    </rPh>
    <rPh sb="9" eb="11">
      <t>バアイ</t>
    </rPh>
    <rPh sb="12" eb="15">
      <t>ビコウラン</t>
    </rPh>
    <rPh sb="17" eb="19">
      <t>ニュウリョク</t>
    </rPh>
    <phoneticPr fontId="16"/>
  </si>
  <si>
    <t>上記のとおり参加を申込ます。</t>
    <rPh sb="0" eb="2">
      <t>ジョウキ</t>
    </rPh>
    <rPh sb="6" eb="8">
      <t>サンカ</t>
    </rPh>
    <rPh sb="9" eb="11">
      <t>モウシコミ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</si>
  <si>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</si>
  <si>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</si>
  <si>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京都府高等学校文化連盟</t>
    <rPh sb="0" eb="3">
      <t>キョウトフ</t>
    </rPh>
    <rPh sb="3" eb="5">
      <t>コウトウ</t>
    </rPh>
    <rPh sb="5" eb="7">
      <t>ガッコウ</t>
    </rPh>
    <rPh sb="7" eb="9">
      <t>ブンカ</t>
    </rPh>
    <rPh sb="9" eb="11">
      <t>レンメイ</t>
    </rPh>
    <phoneticPr fontId="2"/>
  </si>
  <si>
    <t>茶道専門部会長　澤田　清人　様</t>
    <rPh sb="0" eb="2">
      <t>サドウ</t>
    </rPh>
    <rPh sb="2" eb="4">
      <t>センモン</t>
    </rPh>
    <rPh sb="4" eb="5">
      <t>ブ</t>
    </rPh>
    <rPh sb="5" eb="7">
      <t>カイチョウ</t>
    </rPh>
    <rPh sb="8" eb="10">
      <t>サワダ</t>
    </rPh>
    <rPh sb="11" eb="13">
      <t>キヨト</t>
    </rPh>
    <rPh sb="14" eb="15">
      <t>サマ</t>
    </rPh>
    <phoneticPr fontId="2"/>
  </si>
  <si>
    <t>（学校名）</t>
    <rPh sb="1" eb="3">
      <t>ガッコウ</t>
    </rPh>
    <rPh sb="3" eb="4">
      <t>メイ</t>
    </rPh>
    <phoneticPr fontId="2"/>
  </si>
  <si>
    <t>（校長名）</t>
    <rPh sb="1" eb="3">
      <t>コウチョウ</t>
    </rPh>
    <rPh sb="3" eb="4">
      <t>メイ</t>
    </rPh>
    <phoneticPr fontId="2"/>
  </si>
  <si>
    <t>※必ず学校長のご承認のもと、ご入力ください。</t>
    <rPh sb="1" eb="2">
      <t>カナラ</t>
    </rPh>
    <rPh sb="15" eb="17">
      <t>ニュウリョク</t>
    </rPh>
    <phoneticPr fontId="16"/>
  </si>
  <si>
    <t>第41回京都府高等学校総合文化祭</t>
    <rPh sb="0" eb="1">
      <t>ダイ</t>
    </rPh>
    <rPh sb="3" eb="4">
      <t>カイ</t>
    </rPh>
    <rPh sb="4" eb="7">
      <t>キョウトフ</t>
    </rPh>
    <rPh sb="7" eb="9">
      <t>コウトウ</t>
    </rPh>
    <rPh sb="9" eb="11">
      <t>ガッコウ</t>
    </rPh>
    <rPh sb="11" eb="13">
      <t>ソウゴウ</t>
    </rPh>
    <rPh sb="13" eb="16">
      <t>ブンカサイ</t>
    </rPh>
    <phoneticPr fontId="2"/>
  </si>
  <si>
    <t>　今後の連絡はこちらのアドレスにお送りいたします。</t>
    <rPh sb="1" eb="3">
      <t>コンゴ</t>
    </rPh>
    <rPh sb="4" eb="6">
      <t>レンラク</t>
    </rPh>
    <rPh sb="17" eb="18">
      <t>オク</t>
    </rPh>
    <phoneticPr fontId="19"/>
  </si>
  <si>
    <t>１　紙面の都合上，字数制限にご協力ください。</t>
    <rPh sb="2" eb="4">
      <t>しめん</t>
    </rPh>
    <rPh sb="5" eb="8">
      <t>つごうじょう</t>
    </rPh>
    <rPh sb="9" eb="13">
      <t>じすうせいげん</t>
    </rPh>
    <rPh sb="15" eb="17">
      <t>きょうりょく</t>
    </rPh>
    <phoneticPr fontId="2" type="Hiragana" alignment="distributed"/>
  </si>
  <si>
    <t>学校名</t>
    <rPh sb="0" eb="3">
      <t>ガッコウメイ</t>
    </rPh>
    <phoneticPr fontId="19"/>
  </si>
  <si>
    <t>がっこうめい</t>
    <phoneticPr fontId="19"/>
  </si>
  <si>
    <t>申込責任者</t>
    <rPh sb="0" eb="2">
      <t>モウシコミ</t>
    </rPh>
    <rPh sb="2" eb="5">
      <t>セキニンシャ</t>
    </rPh>
    <phoneticPr fontId="19"/>
  </si>
  <si>
    <t>メールアドレス</t>
    <phoneticPr fontId="19"/>
  </si>
  <si>
    <t>緊急時連絡先</t>
    <rPh sb="0" eb="3">
      <t>キンキュウジ</t>
    </rPh>
    <rPh sb="3" eb="6">
      <t>レンラクサキ</t>
    </rPh>
    <phoneticPr fontId="19"/>
  </si>
  <si>
    <t>２　ご入力いただいたデータをそのまま部門プログラムに掲載しますので，
　　ご提出前に再度ご確認ください。</t>
    <rPh sb="3" eb="5">
      <t>にゅうりょく</t>
    </rPh>
    <rPh sb="18" eb="20">
      <t>ぶもん</t>
    </rPh>
    <rPh sb="26" eb="28">
      <t>けいさい</t>
    </rPh>
    <rPh sb="38" eb="40">
      <t>ていしゅつ</t>
    </rPh>
    <rPh sb="40" eb="41">
      <t>まえ</t>
    </rPh>
    <rPh sb="42" eb="44">
      <t>さいど</t>
    </rPh>
    <rPh sb="45" eb="47">
      <t>かくにん</t>
    </rPh>
    <phoneticPr fontId="2" type="Hiragana" alignment="distributed"/>
  </si>
  <si>
    <t>生徒数</t>
    <rPh sb="0" eb="2">
      <t>セイト</t>
    </rPh>
    <rPh sb="2" eb="3">
      <t>スウ</t>
    </rPh>
    <phoneticPr fontId="19"/>
  </si>
  <si>
    <t>顧問</t>
    <rPh sb="0" eb="2">
      <t>コモン</t>
    </rPh>
    <phoneticPr fontId="19"/>
  </si>
  <si>
    <t>指導者
その他</t>
    <phoneticPr fontId="19"/>
  </si>
  <si>
    <t>付添者計</t>
    <rPh sb="0" eb="3">
      <t>ツキソイシャ</t>
    </rPh>
    <rPh sb="3" eb="4">
      <t>ケイ</t>
    </rPh>
    <phoneticPr fontId="19"/>
  </si>
  <si>
    <t>FAX</t>
    <phoneticPr fontId="2"/>
  </si>
  <si>
    <t>・参加者総数、付添者計は計算されます。</t>
    <rPh sb="1" eb="4">
      <t>サンカシャ</t>
    </rPh>
    <rPh sb="4" eb="6">
      <t>ソウスウ</t>
    </rPh>
    <rPh sb="7" eb="9">
      <t>ツキソイ</t>
    </rPh>
    <rPh sb="9" eb="10">
      <t>シャ</t>
    </rPh>
    <rPh sb="10" eb="11">
      <t>ケイ</t>
    </rPh>
    <rPh sb="12" eb="14">
      <t>ケイサン</t>
    </rPh>
    <phoneticPr fontId="2"/>
  </si>
  <si>
    <t>　例）京都府立○○高等学校　←このままプログラムに印字されます</t>
    <rPh sb="1" eb="2">
      <t>レイ</t>
    </rPh>
    <rPh sb="3" eb="7">
      <t>キョウトフリツ</t>
    </rPh>
    <rPh sb="9" eb="13">
      <t>コウトウガッコウ</t>
    </rPh>
    <rPh sb="25" eb="27">
      <t>インジ</t>
    </rPh>
    <phoneticPr fontId="19"/>
  </si>
  <si>
    <t>提出先は</t>
    <rPh sb="0" eb="2">
      <t>テイシュツ</t>
    </rPh>
    <rPh sb="2" eb="3">
      <t>サキ</t>
    </rPh>
    <phoneticPr fontId="19"/>
  </si>
  <si>
    <t xml:space="preserve"> s-ohta22@mail.koka.ac.jp</t>
    <phoneticPr fontId="19"/>
  </si>
  <si>
    <r>
      <t>です。</t>
    </r>
    <r>
      <rPr>
        <sz val="11"/>
        <color rgb="FFFF0000"/>
        <rFont val="ＭＳ Ｐ明朝"/>
        <family val="1"/>
        <charset val="128"/>
      </rPr>
      <t>写真（横置き）もご一緒に</t>
    </r>
    <r>
      <rPr>
        <sz val="11"/>
        <color indexed="8"/>
        <rFont val="ＭＳ Ｐ明朝"/>
        <family val="1"/>
        <charset val="128"/>
      </rPr>
      <t>お送りください。</t>
    </r>
    <rPh sb="3" eb="5">
      <t>シャシン</t>
    </rPh>
    <rPh sb="6" eb="8">
      <t>ヨコオ</t>
    </rPh>
    <rPh sb="12" eb="14">
      <t>イッショ</t>
    </rPh>
    <rPh sb="16" eb="17">
      <t>オク</t>
    </rPh>
    <phoneticPr fontId="19"/>
  </si>
  <si>
    <t>第43回京都府高等学校総合文化祭</t>
    <rPh sb="0" eb="1">
      <t>ダイ</t>
    </rPh>
    <rPh sb="3" eb="4">
      <t>カイ</t>
    </rPh>
    <rPh sb="4" eb="7">
      <t>キョウトフ</t>
    </rPh>
    <rPh sb="7" eb="9">
      <t>コウトウ</t>
    </rPh>
    <rPh sb="9" eb="11">
      <t>ガッコウ</t>
    </rPh>
    <rPh sb="11" eb="13">
      <t>ソウゴウ</t>
    </rPh>
    <rPh sb="13" eb="16">
      <t>ブンカサイ</t>
    </rPh>
    <phoneticPr fontId="2"/>
  </si>
  <si>
    <t>　いない場合は「0」と入力してください。</t>
    <rPh sb="4" eb="6">
      <t>バアイ</t>
    </rPh>
    <rPh sb="11" eb="13">
      <t>ニュウリョク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</si>
  <si>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</si>
  <si>
    <t>＊提出締め切り　令和８年９月11日（金）17：00厳守</t>
    <rPh sb="1" eb="3">
      <t>テイシュツ</t>
    </rPh>
    <rPh sb="3" eb="4">
      <t>シ</t>
    </rPh>
    <rPh sb="5" eb="6">
      <t>キ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rPh sb="25" eb="27">
      <t>ゲンシュ</t>
    </rPh>
    <phoneticPr fontId="2"/>
  </si>
  <si>
    <t>第43回京都府高等学校総合文化祭</t>
    <rPh sb="0" eb="1">
      <t>だい</t>
    </rPh>
    <rPh sb="3" eb="4">
      <t>かい</t>
    </rPh>
    <rPh sb="4" eb="6">
      <t>きょうと</t>
    </rPh>
    <rPh sb="6" eb="7">
      <t>ふ</t>
    </rPh>
    <rPh sb="7" eb="9">
      <t>こうとう</t>
    </rPh>
    <rPh sb="9" eb="11">
      <t>がっこう</t>
    </rPh>
    <rPh sb="11" eb="13">
      <t>そうごう</t>
    </rPh>
    <rPh sb="13" eb="16">
      <t>ぶんかさい</t>
    </rPh>
    <phoneticPr fontId="2" type="Hiragana" alignment="distributed"/>
  </si>
  <si>
    <r>
      <t>　　</t>
    </r>
    <r>
      <rPr>
        <b/>
        <sz val="11"/>
        <color rgb="FFFF0000"/>
        <rFont val="ＭＳ ゴシック"/>
        <family val="3"/>
        <charset val="128"/>
      </rPr>
      <t>＊提出締め切り　令和８年９月11日（金）17:00厳守</t>
    </r>
    <rPh sb="3" eb="5">
      <t>ていしゅつ</t>
    </rPh>
    <rPh sb="5" eb="6">
      <t>し</t>
    </rPh>
    <rPh sb="7" eb="8">
      <t>き</t>
    </rPh>
    <rPh sb="10" eb="12">
      <t>れいわ</t>
    </rPh>
    <rPh sb="13" eb="14">
      <t>ねん</t>
    </rPh>
    <rPh sb="15" eb="16">
      <t>がつ</t>
    </rPh>
    <rPh sb="18" eb="19">
      <t>にち</t>
    </rPh>
    <rPh sb="20" eb="21">
      <t>きん</t>
    </rPh>
    <rPh sb="27" eb="29">
      <t>げんしゅ</t>
    </rPh>
    <phoneticPr fontId="2" type="Hiragana" alignment="distributed"/>
  </si>
  <si>
    <r>
      <t>３　こちらのエクセルと併せて活動の様子がわかる写真（</t>
    </r>
    <r>
      <rPr>
        <sz val="10"/>
        <color rgb="FFFF0000"/>
        <rFont val="ＭＳ 明朝"/>
        <family val="1"/>
        <charset val="128"/>
      </rPr>
      <t>横置き</t>
    </r>
    <r>
      <rPr>
        <sz val="10"/>
        <color indexed="8"/>
        <rFont val="ＭＳ 明朝"/>
        <family val="1"/>
        <charset val="128"/>
      </rPr>
      <t>）を
　　メールに添付してください。</t>
    </r>
    <rPh sb="11" eb="12">
      <t>あわ</t>
    </rPh>
    <rPh sb="14" eb="16">
      <t>かつどう</t>
    </rPh>
    <rPh sb="17" eb="19">
      <t>ようす</t>
    </rPh>
    <rPh sb="23" eb="25">
      <t>しゃしん</t>
    </rPh>
    <rPh sb="26" eb="28">
      <t>よこお</t>
    </rPh>
    <rPh sb="38" eb="40">
      <t>てんぷ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</si>
</sst>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字&quot;"/>
    <numFmt numFmtId="177" formatCode="0_);[Red]\(0\)"/>
  </numFmts>
  <fonts count="4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1"/>
      <color rgb="FF00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34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8" fillId="2" borderId="0" xfId="0" applyFont="1" applyFill="1">
      <alignment vertical="center"/>
    </xf>
    <xf numFmtId="0" fontId="4" fillId="2" borderId="0" xfId="0" applyFont="1" applyFill="1" applyAlignment="1">
      <alignment horizontal="distributed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4" fillId="3" borderId="0" xfId="0" applyFont="1" applyFill="1">
      <alignment vertical="center"/>
    </xf>
    <xf numFmtId="0" fontId="14" fillId="2" borderId="0" xfId="0" applyFont="1" applyFill="1">
      <alignment vertical="center"/>
    </xf>
    <xf numFmtId="0" fontId="3" fillId="2" borderId="0" xfId="0" applyFont="1" applyFill="1" applyAlignment="1">
      <alignment horizontal="distributed" vertical="center"/>
    </xf>
    <xf numFmtId="49" fontId="17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5" borderId="0" xfId="0" applyFill="1">
      <alignment vertical="center"/>
    </xf>
    <xf numFmtId="49" fontId="15" fillId="5" borderId="0" xfId="0" applyNumberFormat="1" applyFont="1" applyFill="1">
      <alignment vertical="center"/>
    </xf>
    <xf numFmtId="49" fontId="17" fillId="5" borderId="0" xfId="0" applyNumberFormat="1" applyFont="1" applyFill="1">
      <alignment vertical="center"/>
    </xf>
    <xf numFmtId="0" fontId="0" fillId="5" borderId="0" xfId="0" applyFill="1" applyAlignment="1">
      <alignment horizontal="center" vertical="center"/>
    </xf>
    <xf numFmtId="0" fontId="3" fillId="2" borderId="26" xfId="0" applyFont="1" applyFill="1" applyBorder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49" fontId="15" fillId="2" borderId="13" xfId="0" applyNumberFormat="1" applyFont="1" applyFill="1" applyBorder="1">
      <alignment vertical="center"/>
    </xf>
    <xf numFmtId="0" fontId="0" fillId="3" borderId="0" xfId="0" applyFill="1" applyAlignment="1"/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9" fillId="2" borderId="0" xfId="0" applyFont="1" applyFill="1">
      <alignment vertical="center"/>
    </xf>
    <xf numFmtId="0" fontId="15" fillId="2" borderId="13" xfId="0" applyFont="1" applyFill="1" applyBorder="1">
      <alignment vertical="center"/>
    </xf>
    <xf numFmtId="49" fontId="10" fillId="2" borderId="13" xfId="0" applyNumberFormat="1" applyFont="1" applyFill="1" applyBorder="1">
      <alignment vertical="center"/>
    </xf>
    <xf numFmtId="49" fontId="17" fillId="2" borderId="13" xfId="0" applyNumberFormat="1" applyFont="1" applyFill="1" applyBorder="1">
      <alignment vertical="center"/>
    </xf>
    <xf numFmtId="0" fontId="21" fillId="3" borderId="0" xfId="1" applyFont="1" applyFill="1">
      <alignment vertical="center"/>
    </xf>
    <xf numFmtId="0" fontId="22" fillId="8" borderId="0" xfId="1" applyFont="1" applyFill="1">
      <alignment vertical="center"/>
    </xf>
    <xf numFmtId="0" fontId="23" fillId="8" borderId="0" xfId="1" applyFont="1" applyFill="1">
      <alignment vertical="center"/>
    </xf>
    <xf numFmtId="0" fontId="21" fillId="8" borderId="0" xfId="1" applyFont="1" applyFill="1">
      <alignment vertical="center"/>
    </xf>
    <xf numFmtId="0" fontId="23" fillId="9" borderId="0" xfId="1" applyFont="1" applyFill="1">
      <alignment vertical="center"/>
    </xf>
    <xf numFmtId="0" fontId="27" fillId="2" borderId="61" xfId="1" applyFont="1" applyFill="1" applyBorder="1" applyAlignment="1">
      <alignment horizontal="center" vertical="center" shrinkToFit="1"/>
    </xf>
    <xf numFmtId="49" fontId="33" fillId="2" borderId="61" xfId="1" applyNumberFormat="1" applyFont="1" applyFill="1" applyBorder="1" applyAlignment="1">
      <alignment vertical="top" shrinkToFit="1"/>
    </xf>
    <xf numFmtId="0" fontId="33" fillId="2" borderId="0" xfId="1" applyFont="1" applyFill="1" applyAlignment="1">
      <alignment vertical="top" shrinkToFit="1"/>
    </xf>
    <xf numFmtId="0" fontId="33" fillId="2" borderId="0" xfId="1" applyFont="1" applyFill="1" applyAlignment="1">
      <alignment shrinkToFit="1"/>
    </xf>
    <xf numFmtId="0" fontId="33" fillId="2" borderId="14" xfId="1" applyFont="1" applyFill="1" applyBorder="1" applyAlignment="1">
      <alignment shrinkToFit="1"/>
    </xf>
    <xf numFmtId="0" fontId="33" fillId="2" borderId="67" xfId="1" applyFont="1" applyFill="1" applyBorder="1" applyAlignment="1">
      <alignment vertical="top" shrinkToFit="1"/>
    </xf>
    <xf numFmtId="0" fontId="33" fillId="2" borderId="12" xfId="1" applyFont="1" applyFill="1" applyBorder="1" applyAlignment="1">
      <alignment vertical="top" shrinkToFit="1"/>
    </xf>
    <xf numFmtId="0" fontId="33" fillId="2" borderId="68" xfId="1" applyFont="1" applyFill="1" applyBorder="1" applyAlignment="1">
      <alignment vertical="top" shrinkToFit="1"/>
    </xf>
    <xf numFmtId="0" fontId="21" fillId="8" borderId="0" xfId="1" applyFont="1" applyFill="1" applyAlignment="1">
      <alignment vertical="top"/>
    </xf>
    <xf numFmtId="0" fontId="25" fillId="2" borderId="88" xfId="1" applyFont="1" applyFill="1" applyBorder="1">
      <alignment vertical="center"/>
    </xf>
    <xf numFmtId="0" fontId="35" fillId="2" borderId="16" xfId="1" applyFont="1" applyFill="1" applyBorder="1">
      <alignment vertical="center"/>
    </xf>
    <xf numFmtId="0" fontId="25" fillId="2" borderId="16" xfId="1" applyFont="1" applyFill="1" applyBorder="1">
      <alignment vertical="center"/>
    </xf>
    <xf numFmtId="0" fontId="25" fillId="2" borderId="92" xfId="1" applyFont="1" applyFill="1" applyBorder="1">
      <alignment vertical="center"/>
    </xf>
    <xf numFmtId="0" fontId="36" fillId="3" borderId="0" xfId="1" applyFont="1" applyFill="1">
      <alignment vertical="center"/>
    </xf>
    <xf numFmtId="0" fontId="25" fillId="2" borderId="13" xfId="1" applyFont="1" applyFill="1" applyBorder="1">
      <alignment vertical="center"/>
    </xf>
    <xf numFmtId="0" fontId="25" fillId="2" borderId="0" xfId="1" applyFont="1" applyFill="1">
      <alignment vertical="center"/>
    </xf>
    <xf numFmtId="0" fontId="21" fillId="2" borderId="0" xfId="1" applyFont="1" applyFill="1">
      <alignment vertical="center"/>
    </xf>
    <xf numFmtId="0" fontId="25" fillId="2" borderId="14" xfId="1" applyFont="1" applyFill="1" applyBorder="1">
      <alignment vertical="center"/>
    </xf>
    <xf numFmtId="0" fontId="25" fillId="2" borderId="10" xfId="1" applyFont="1" applyFill="1" applyBorder="1">
      <alignment vertical="center"/>
    </xf>
    <xf numFmtId="0" fontId="41" fillId="2" borderId="26" xfId="1" applyFont="1" applyFill="1" applyBorder="1">
      <alignment vertical="center"/>
    </xf>
    <xf numFmtId="0" fontId="25" fillId="2" borderId="26" xfId="1" applyFont="1" applyFill="1" applyBorder="1">
      <alignment vertical="center"/>
    </xf>
    <xf numFmtId="0" fontId="21" fillId="2" borderId="26" xfId="1" applyFont="1" applyFill="1" applyBorder="1">
      <alignment vertical="center"/>
    </xf>
    <xf numFmtId="0" fontId="26" fillId="2" borderId="26" xfId="1" applyFont="1" applyFill="1" applyBorder="1" applyAlignment="1">
      <alignment horizontal="center" vertical="center"/>
    </xf>
    <xf numFmtId="0" fontId="25" fillId="2" borderId="15" xfId="1" applyFont="1" applyFill="1" applyBorder="1">
      <alignment vertical="center"/>
    </xf>
    <xf numFmtId="0" fontId="21" fillId="2" borderId="0" xfId="1" applyFont="1" applyFill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41" fillId="2" borderId="0" xfId="1" applyFont="1" applyFill="1">
      <alignment vertical="center"/>
    </xf>
    <xf numFmtId="0" fontId="35" fillId="3" borderId="0" xfId="1" applyFont="1" applyFill="1">
      <alignment vertical="center"/>
    </xf>
    <xf numFmtId="0" fontId="42" fillId="0" borderId="0" xfId="1" applyFont="1" applyAlignment="1">
      <alignment horizontal="right" vertical="center"/>
    </xf>
    <xf numFmtId="0" fontId="42" fillId="2" borderId="0" xfId="1" applyFont="1" applyFill="1">
      <alignment vertical="center"/>
    </xf>
    <xf numFmtId="49" fontId="0" fillId="0" borderId="0" xfId="0" applyNumberFormat="1">
      <alignment vertical="center"/>
    </xf>
    <xf numFmtId="0" fontId="25" fillId="0" borderId="16" xfId="1" applyFont="1" applyBorder="1">
      <alignment vertical="center"/>
    </xf>
    <xf numFmtId="0" fontId="25" fillId="0" borderId="92" xfId="1" applyFont="1" applyBorder="1">
      <alignment vertical="center"/>
    </xf>
    <xf numFmtId="0" fontId="25" fillId="0" borderId="0" xfId="1" applyFont="1">
      <alignment vertical="center"/>
    </xf>
    <xf numFmtId="0" fontId="25" fillId="0" borderId="14" xfId="1" applyFont="1" applyBorder="1">
      <alignment vertical="center"/>
    </xf>
    <xf numFmtId="0" fontId="25" fillId="3" borderId="0" xfId="1" applyFont="1" applyFill="1">
      <alignment vertical="center"/>
    </xf>
    <xf numFmtId="0" fontId="25" fillId="3" borderId="0" xfId="1" applyFont="1" applyFill="1" applyAlignment="1">
      <alignment vertical="center" wrapText="1" shrinkToFit="1"/>
    </xf>
    <xf numFmtId="0" fontId="25" fillId="3" borderId="0" xfId="1" applyFont="1" applyFill="1" applyAlignment="1">
      <alignment vertical="center" shrinkToFit="1"/>
    </xf>
    <xf numFmtId="0" fontId="40" fillId="3" borderId="0" xfId="1" applyFont="1" applyFill="1" applyAlignment="1">
      <alignment wrapText="1"/>
    </xf>
    <xf numFmtId="0" fontId="24" fillId="3" borderId="0" xfId="1" applyFont="1" applyFill="1" applyAlignment="1">
      <alignment vertical="center" textRotation="255" shrinkToFit="1"/>
    </xf>
    <xf numFmtId="0" fontId="25" fillId="3" borderId="0" xfId="1" applyFont="1" applyFill="1" applyAlignment="1">
      <alignment vertical="center" wrapText="1"/>
    </xf>
    <xf numFmtId="0" fontId="44" fillId="8" borderId="0" xfId="1" applyFont="1" applyFill="1">
      <alignment vertical="center"/>
    </xf>
    <xf numFmtId="0" fontId="36" fillId="8" borderId="0" xfId="1" applyFont="1" applyFill="1">
      <alignment vertical="center"/>
    </xf>
    <xf numFmtId="0" fontId="26" fillId="3" borderId="0" xfId="1" applyFont="1" applyFill="1" applyAlignment="1">
      <alignment horizontal="center" vertical="center" wrapText="1"/>
    </xf>
    <xf numFmtId="0" fontId="39" fillId="3" borderId="0" xfId="1" applyFont="1" applyFill="1" applyAlignment="1">
      <alignment horizontal="center" vertical="center" wrapText="1"/>
    </xf>
    <xf numFmtId="0" fontId="35" fillId="3" borderId="0" xfId="1" quotePrefix="1" applyFont="1" applyFill="1" applyAlignment="1">
      <alignment horizontal="center" vertical="center"/>
    </xf>
    <xf numFmtId="0" fontId="35" fillId="3" borderId="0" xfId="1" applyFont="1" applyFill="1" applyAlignment="1">
      <alignment horizontal="center" vertical="center"/>
    </xf>
    <xf numFmtId="0" fontId="40" fillId="0" borderId="102" xfId="1" applyFont="1" applyBorder="1" applyAlignment="1">
      <alignment horizontal="center" wrapText="1"/>
    </xf>
    <xf numFmtId="0" fontId="40" fillId="0" borderId="100" xfId="1" applyFont="1" applyBorder="1" applyAlignment="1">
      <alignment horizontal="center" wrapText="1"/>
    </xf>
    <xf numFmtId="0" fontId="40" fillId="0" borderId="96" xfId="1" applyFont="1" applyBorder="1" applyAlignment="1">
      <alignment horizontal="center" wrapText="1"/>
    </xf>
    <xf numFmtId="0" fontId="40" fillId="0" borderId="99" xfId="1" applyFont="1" applyBorder="1" applyAlignment="1">
      <alignment horizontal="center" wrapText="1"/>
    </xf>
    <xf numFmtId="0" fontId="40" fillId="0" borderId="97" xfId="1" applyFont="1" applyBorder="1" applyAlignment="1">
      <alignment horizontal="center" wrapText="1"/>
    </xf>
    <xf numFmtId="0" fontId="40" fillId="0" borderId="101" xfId="1" applyFont="1" applyBorder="1" applyAlignment="1">
      <alignment horizontal="center" wrapText="1"/>
    </xf>
    <xf numFmtId="0" fontId="25" fillId="0" borderId="88" xfId="1" applyFont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65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89" xfId="1" applyFont="1" applyBorder="1" applyAlignment="1">
      <alignment horizontal="center" vertical="center" wrapText="1"/>
    </xf>
    <xf numFmtId="0" fontId="25" fillId="0" borderId="74" xfId="1" applyFont="1" applyBorder="1" applyAlignment="1">
      <alignment horizontal="center" vertical="center"/>
    </xf>
    <xf numFmtId="0" fontId="25" fillId="0" borderId="90" xfId="1" applyFont="1" applyBorder="1" applyAlignment="1">
      <alignment horizontal="center" vertical="center" wrapText="1"/>
    </xf>
    <xf numFmtId="0" fontId="25" fillId="0" borderId="89" xfId="1" applyFont="1" applyBorder="1" applyAlignment="1">
      <alignment horizontal="center" vertical="center"/>
    </xf>
    <xf numFmtId="0" fontId="25" fillId="0" borderId="86" xfId="1" applyFont="1" applyBorder="1" applyAlignment="1">
      <alignment horizontal="center" vertical="center"/>
    </xf>
    <xf numFmtId="0" fontId="25" fillId="0" borderId="79" xfId="1" applyFont="1" applyBorder="1" applyAlignment="1">
      <alignment horizontal="center" vertical="center"/>
    </xf>
    <xf numFmtId="0" fontId="25" fillId="0" borderId="80" xfId="1" applyFont="1" applyBorder="1" applyAlignment="1">
      <alignment horizontal="center" vertical="center"/>
    </xf>
    <xf numFmtId="0" fontId="25" fillId="0" borderId="16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0" borderId="94" xfId="1" applyFont="1" applyBorder="1" applyAlignment="1">
      <alignment horizontal="center" vertical="center"/>
    </xf>
    <xf numFmtId="0" fontId="39" fillId="0" borderId="84" xfId="1" applyFont="1" applyBorder="1" applyAlignment="1">
      <alignment horizontal="center" vertical="center" wrapText="1"/>
    </xf>
    <xf numFmtId="0" fontId="39" fillId="0" borderId="93" xfId="1" applyFont="1" applyBorder="1" applyAlignment="1">
      <alignment horizontal="center" vertical="center" wrapText="1"/>
    </xf>
    <xf numFmtId="0" fontId="39" fillId="0" borderId="62" xfId="1" applyFont="1" applyBorder="1" applyAlignment="1">
      <alignment horizontal="center" vertical="center" wrapText="1"/>
    </xf>
    <xf numFmtId="0" fontId="39" fillId="0" borderId="96" xfId="1" applyFont="1" applyBorder="1" applyAlignment="1">
      <alignment horizontal="center" vertical="center" wrapText="1"/>
    </xf>
    <xf numFmtId="0" fontId="39" fillId="0" borderId="82" xfId="1" applyFont="1" applyBorder="1" applyAlignment="1">
      <alignment horizontal="center" vertical="center" wrapText="1"/>
    </xf>
    <xf numFmtId="0" fontId="39" fillId="0" borderId="98" xfId="1" applyFont="1" applyBorder="1" applyAlignment="1">
      <alignment horizontal="center" vertical="center" wrapText="1"/>
    </xf>
    <xf numFmtId="0" fontId="39" fillId="0" borderId="61" xfId="1" applyFont="1" applyBorder="1" applyAlignment="1">
      <alignment horizontal="center" vertical="center"/>
    </xf>
    <xf numFmtId="0" fontId="39" fillId="0" borderId="62" xfId="1" applyFont="1" applyBorder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9" fillId="0" borderId="74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66" xfId="1" applyFont="1" applyBorder="1" applyAlignment="1">
      <alignment horizontal="center" vertical="center"/>
    </xf>
    <xf numFmtId="0" fontId="35" fillId="0" borderId="90" xfId="1" applyFont="1" applyBorder="1" applyAlignment="1">
      <alignment horizontal="left" vertical="center" wrapText="1"/>
    </xf>
    <xf numFmtId="0" fontId="35" fillId="0" borderId="16" xfId="1" applyFont="1" applyBorder="1" applyAlignment="1">
      <alignment horizontal="left" vertical="center" wrapText="1"/>
    </xf>
    <xf numFmtId="0" fontId="35" fillId="0" borderId="92" xfId="1" applyFont="1" applyBorder="1" applyAlignment="1">
      <alignment horizontal="left" vertical="center" wrapText="1"/>
    </xf>
    <xf numFmtId="0" fontId="35" fillId="0" borderId="67" xfId="1" applyFont="1" applyBorder="1" applyAlignment="1">
      <alignment horizontal="left" vertical="center" wrapText="1"/>
    </xf>
    <xf numFmtId="0" fontId="35" fillId="0" borderId="12" xfId="1" applyFont="1" applyBorder="1" applyAlignment="1">
      <alignment horizontal="left" vertical="center" wrapText="1"/>
    </xf>
    <xf numFmtId="0" fontId="35" fillId="0" borderId="68" xfId="1" applyFont="1" applyBorder="1" applyAlignment="1">
      <alignment horizontal="left" vertical="center" wrapText="1"/>
    </xf>
    <xf numFmtId="0" fontId="21" fillId="2" borderId="0" xfId="1" applyFont="1" applyFill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36" fillId="2" borderId="0" xfId="1" applyFont="1" applyFill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26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39" fillId="0" borderId="13" xfId="1" applyFont="1" applyBorder="1" applyAlignment="1">
      <alignment horizontal="center" vertical="center" wrapText="1"/>
    </xf>
    <xf numFmtId="0" fontId="39" fillId="0" borderId="0" xfId="1" applyFont="1" applyAlignment="1">
      <alignment horizontal="center" vertical="center" wrapText="1"/>
    </xf>
    <xf numFmtId="0" fontId="39" fillId="0" borderId="74" xfId="1" applyFont="1" applyBorder="1" applyAlignment="1">
      <alignment horizontal="center" vertical="center" wrapText="1"/>
    </xf>
    <xf numFmtId="0" fontId="25" fillId="0" borderId="90" xfId="1" applyFont="1" applyBorder="1" applyAlignment="1">
      <alignment horizontal="center" vertical="center"/>
    </xf>
    <xf numFmtId="0" fontId="25" fillId="0" borderId="85" xfId="1" applyFont="1" applyBorder="1" applyAlignment="1">
      <alignment horizontal="center" vertical="center"/>
    </xf>
    <xf numFmtId="0" fontId="25" fillId="0" borderId="91" xfId="1" applyFont="1" applyBorder="1" applyAlignment="1">
      <alignment horizontal="center" vertical="center"/>
    </xf>
    <xf numFmtId="0" fontId="25" fillId="0" borderId="95" xfId="1" applyFont="1" applyBorder="1" applyAlignment="1">
      <alignment horizontal="center" vertical="center"/>
    </xf>
    <xf numFmtId="0" fontId="25" fillId="2" borderId="60" xfId="1" applyFont="1" applyFill="1" applyBorder="1" applyAlignment="1">
      <alignment horizontal="center" vertical="center" wrapText="1"/>
    </xf>
    <xf numFmtId="0" fontId="25" fillId="2" borderId="61" xfId="1" applyFont="1" applyFill="1" applyBorder="1" applyAlignment="1">
      <alignment horizontal="center" vertical="center"/>
    </xf>
    <xf numFmtId="0" fontId="25" fillId="2" borderId="62" xfId="1" applyFont="1" applyFill="1" applyBorder="1" applyAlignment="1">
      <alignment horizontal="center" vertical="center"/>
    </xf>
    <xf numFmtId="0" fontId="25" fillId="2" borderId="78" xfId="1" applyFont="1" applyFill="1" applyBorder="1" applyAlignment="1">
      <alignment horizontal="center" vertical="center"/>
    </xf>
    <xf numFmtId="0" fontId="25" fillId="2" borderId="79" xfId="1" applyFont="1" applyFill="1" applyBorder="1" applyAlignment="1">
      <alignment horizontal="center" vertical="center"/>
    </xf>
    <xf numFmtId="0" fontId="25" fillId="2" borderId="80" xfId="1" applyFont="1" applyFill="1" applyBorder="1" applyAlignment="1">
      <alignment horizontal="center" vertical="center"/>
    </xf>
    <xf numFmtId="0" fontId="36" fillId="2" borderId="63" xfId="3" applyFont="1" applyFill="1" applyBorder="1" applyAlignment="1">
      <alignment horizontal="center" vertical="center" shrinkToFit="1"/>
    </xf>
    <xf numFmtId="0" fontId="36" fillId="2" borderId="61" xfId="3" applyFont="1" applyFill="1" applyBorder="1" applyAlignment="1">
      <alignment horizontal="center" vertical="center" shrinkToFit="1"/>
    </xf>
    <xf numFmtId="0" fontId="36" fillId="2" borderId="62" xfId="3" applyFont="1" applyFill="1" applyBorder="1" applyAlignment="1">
      <alignment horizontal="center" vertical="center" shrinkToFit="1"/>
    </xf>
    <xf numFmtId="0" fontId="36" fillId="2" borderId="86" xfId="3" applyFont="1" applyFill="1" applyBorder="1" applyAlignment="1">
      <alignment horizontal="center" vertical="center" shrinkToFit="1"/>
    </xf>
    <xf numFmtId="0" fontId="36" fillId="2" borderId="79" xfId="3" applyFont="1" applyFill="1" applyBorder="1" applyAlignment="1">
      <alignment horizontal="center" vertical="center" shrinkToFit="1"/>
    </xf>
    <xf numFmtId="0" fontId="36" fillId="2" borderId="80" xfId="3" applyFont="1" applyFill="1" applyBorder="1" applyAlignment="1">
      <alignment horizontal="center" vertical="center" shrinkToFit="1"/>
    </xf>
    <xf numFmtId="49" fontId="36" fillId="2" borderId="85" xfId="3" applyNumberFormat="1" applyFont="1" applyFill="1" applyBorder="1" applyAlignment="1">
      <alignment horizontal="center" vertical="center" shrinkToFit="1"/>
    </xf>
    <xf numFmtId="49" fontId="36" fillId="2" borderId="0" xfId="3" applyNumberFormat="1" applyFont="1" applyFill="1" applyAlignment="1">
      <alignment horizontal="center" vertical="center" shrinkToFit="1"/>
    </xf>
    <xf numFmtId="49" fontId="36" fillId="2" borderId="14" xfId="3" applyNumberFormat="1" applyFont="1" applyFill="1" applyBorder="1" applyAlignment="1">
      <alignment horizontal="center" vertical="center" shrinkToFit="1"/>
    </xf>
    <xf numFmtId="49" fontId="36" fillId="2" borderId="86" xfId="3" applyNumberFormat="1" applyFont="1" applyFill="1" applyBorder="1" applyAlignment="1">
      <alignment horizontal="center" vertical="center" shrinkToFit="1"/>
    </xf>
    <xf numFmtId="49" fontId="36" fillId="2" borderId="79" xfId="3" applyNumberFormat="1" applyFont="1" applyFill="1" applyBorder="1" applyAlignment="1">
      <alignment horizontal="center" vertical="center" shrinkToFit="1"/>
    </xf>
    <xf numFmtId="49" fontId="36" fillId="2" borderId="87" xfId="3" applyNumberFormat="1" applyFont="1" applyFill="1" applyBorder="1" applyAlignment="1">
      <alignment horizontal="center" vertical="center" shrinkToFit="1"/>
    </xf>
    <xf numFmtId="0" fontId="25" fillId="2" borderId="65" xfId="1" applyFont="1" applyFill="1" applyBorder="1" applyAlignment="1">
      <alignment horizontal="center" vertical="center"/>
    </xf>
    <xf numFmtId="0" fontId="25" fillId="2" borderId="12" xfId="1" applyFont="1" applyFill="1" applyBorder="1" applyAlignment="1">
      <alignment horizontal="center" vertical="center"/>
    </xf>
    <xf numFmtId="0" fontId="25" fillId="2" borderId="66" xfId="1" applyFont="1" applyFill="1" applyBorder="1" applyAlignment="1">
      <alignment horizontal="center" vertical="center"/>
    </xf>
    <xf numFmtId="0" fontId="38" fillId="2" borderId="63" xfId="4" applyFont="1" applyFill="1" applyBorder="1" applyAlignment="1">
      <alignment horizontal="center" vertical="center" shrinkToFit="1"/>
    </xf>
    <xf numFmtId="0" fontId="38" fillId="2" borderId="61" xfId="4" applyFont="1" applyFill="1" applyBorder="1" applyAlignment="1">
      <alignment horizontal="center" vertical="center" shrinkToFit="1"/>
    </xf>
    <xf numFmtId="0" fontId="38" fillId="2" borderId="64" xfId="4" applyFont="1" applyFill="1" applyBorder="1" applyAlignment="1">
      <alignment horizontal="center" vertical="center" shrinkToFit="1"/>
    </xf>
    <xf numFmtId="0" fontId="26" fillId="2" borderId="69" xfId="1" applyFont="1" applyFill="1" applyBorder="1" applyAlignment="1">
      <alignment horizontal="center" vertical="center"/>
    </xf>
    <xf numFmtId="0" fontId="26" fillId="2" borderId="70" xfId="1" applyFont="1" applyFill="1" applyBorder="1" applyAlignment="1">
      <alignment horizontal="center" vertical="center"/>
    </xf>
    <xf numFmtId="0" fontId="26" fillId="2" borderId="71" xfId="1" applyFont="1" applyFill="1" applyBorder="1" applyAlignment="1">
      <alignment horizontal="center" vertical="center"/>
    </xf>
    <xf numFmtId="0" fontId="32" fillId="2" borderId="72" xfId="2" applyFont="1" applyFill="1" applyBorder="1" applyAlignment="1">
      <alignment horizontal="left" vertical="center" shrinkToFit="1"/>
    </xf>
    <xf numFmtId="0" fontId="27" fillId="2" borderId="70" xfId="1" applyFont="1" applyFill="1" applyBorder="1" applyAlignment="1">
      <alignment horizontal="left" vertical="center" shrinkToFit="1"/>
    </xf>
    <xf numFmtId="0" fontId="27" fillId="2" borderId="73" xfId="1" applyFont="1" applyFill="1" applyBorder="1" applyAlignment="1">
      <alignment horizontal="left" vertical="center" shrinkToFit="1"/>
    </xf>
    <xf numFmtId="0" fontId="26" fillId="2" borderId="83" xfId="1" applyFont="1" applyFill="1" applyBorder="1" applyAlignment="1">
      <alignment horizontal="center" vertical="center"/>
    </xf>
    <xf numFmtId="0" fontId="26" fillId="2" borderId="76" xfId="1" applyFont="1" applyFill="1" applyBorder="1" applyAlignment="1">
      <alignment horizontal="center" vertical="center"/>
    </xf>
    <xf numFmtId="0" fontId="26" fillId="2" borderId="84" xfId="1" applyFont="1" applyFill="1" applyBorder="1" applyAlignment="1">
      <alignment horizontal="center" vertical="center"/>
    </xf>
    <xf numFmtId="0" fontId="35" fillId="2" borderId="72" xfId="3" applyFont="1" applyFill="1" applyBorder="1" applyAlignment="1">
      <alignment horizontal="left" vertical="center" shrinkToFit="1"/>
    </xf>
    <xf numFmtId="0" fontId="35" fillId="2" borderId="70" xfId="3" applyFont="1" applyFill="1" applyBorder="1" applyAlignment="1">
      <alignment horizontal="left" vertical="center" shrinkToFit="1"/>
    </xf>
    <xf numFmtId="0" fontId="35" fillId="2" borderId="71" xfId="3" applyFont="1" applyFill="1" applyBorder="1" applyAlignment="1">
      <alignment horizontal="left" vertical="center" shrinkToFit="1"/>
    </xf>
    <xf numFmtId="0" fontId="25" fillId="2" borderId="72" xfId="3" applyFont="1" applyFill="1" applyBorder="1" applyAlignment="1">
      <alignment horizontal="center" vertical="center" shrinkToFit="1"/>
    </xf>
    <xf numFmtId="0" fontId="25" fillId="2" borderId="70" xfId="3" applyFont="1" applyFill="1" applyBorder="1" applyAlignment="1">
      <alignment horizontal="center" vertical="center" shrinkToFit="1"/>
    </xf>
    <xf numFmtId="0" fontId="25" fillId="2" borderId="73" xfId="3" applyFont="1" applyFill="1" applyBorder="1" applyAlignment="1">
      <alignment horizontal="center" vertical="center" shrinkToFit="1"/>
    </xf>
    <xf numFmtId="0" fontId="25" fillId="0" borderId="60" xfId="1" applyFont="1" applyBorder="1" applyAlignment="1">
      <alignment horizontal="center" vertical="center" wrapText="1"/>
    </xf>
    <xf numFmtId="0" fontId="25" fillId="0" borderId="61" xfId="1" applyFont="1" applyBorder="1" applyAlignment="1">
      <alignment horizontal="center" vertical="center"/>
    </xf>
    <xf numFmtId="0" fontId="25" fillId="0" borderId="62" xfId="1" applyFont="1" applyBorder="1" applyAlignment="1">
      <alignment horizontal="center" vertical="center"/>
    </xf>
    <xf numFmtId="0" fontId="25" fillId="0" borderId="78" xfId="1" applyFont="1" applyBorder="1" applyAlignment="1">
      <alignment horizontal="center" vertical="center"/>
    </xf>
    <xf numFmtId="49" fontId="27" fillId="2" borderId="61" xfId="1" applyNumberFormat="1" applyFont="1" applyFill="1" applyBorder="1" applyAlignment="1">
      <alignment horizontal="right" vertical="center" shrinkToFit="1"/>
    </xf>
    <xf numFmtId="49" fontId="27" fillId="2" borderId="61" xfId="1" applyNumberFormat="1" applyFont="1" applyFill="1" applyBorder="1" applyAlignment="1">
      <alignment horizontal="left" vertical="center" shrinkToFit="1"/>
    </xf>
    <xf numFmtId="49" fontId="27" fillId="2" borderId="62" xfId="1" applyNumberFormat="1" applyFont="1" applyFill="1" applyBorder="1" applyAlignment="1">
      <alignment horizontal="left" vertical="center" shrinkToFit="1"/>
    </xf>
    <xf numFmtId="0" fontId="34" fillId="2" borderId="75" xfId="1" applyFont="1" applyFill="1" applyBorder="1" applyAlignment="1">
      <alignment horizontal="left" vertical="center" shrinkToFit="1"/>
    </xf>
    <xf numFmtId="0" fontId="34" fillId="2" borderId="76" xfId="1" applyFont="1" applyFill="1" applyBorder="1" applyAlignment="1">
      <alignment horizontal="left" vertical="center" shrinkToFit="1"/>
    </xf>
    <xf numFmtId="0" fontId="34" fillId="2" borderId="77" xfId="1" applyFont="1" applyFill="1" applyBorder="1" applyAlignment="1">
      <alignment horizontal="left" vertical="center" shrinkToFit="1"/>
    </xf>
    <xf numFmtId="0" fontId="33" fillId="2" borderId="67" xfId="1" applyFont="1" applyFill="1" applyBorder="1" applyAlignment="1">
      <alignment horizontal="center" vertical="center" shrinkToFit="1"/>
    </xf>
    <xf numFmtId="0" fontId="33" fillId="2" borderId="12" xfId="1" applyFont="1" applyFill="1" applyBorder="1" applyAlignment="1">
      <alignment horizontal="center" vertical="center" shrinkToFit="1"/>
    </xf>
    <xf numFmtId="49" fontId="27" fillId="2" borderId="81" xfId="1" applyNumberFormat="1" applyFont="1" applyFill="1" applyBorder="1" applyAlignment="1">
      <alignment horizontal="left" vertical="center" shrinkToFit="1"/>
    </xf>
    <xf numFmtId="49" fontId="27" fillId="2" borderId="82" xfId="1" applyNumberFormat="1" applyFont="1" applyFill="1" applyBorder="1" applyAlignment="1">
      <alignment horizontal="left" vertical="center" shrinkToFit="1"/>
    </xf>
    <xf numFmtId="49" fontId="27" fillId="2" borderId="12" xfId="1" applyNumberFormat="1" applyFont="1" applyFill="1" applyBorder="1" applyAlignment="1">
      <alignment horizontal="left" vertical="center" shrinkToFit="1"/>
    </xf>
    <xf numFmtId="0" fontId="26" fillId="2" borderId="2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6" fillId="2" borderId="56" xfId="1" applyFont="1" applyFill="1" applyBorder="1" applyAlignment="1">
      <alignment horizontal="center" vertical="center"/>
    </xf>
    <xf numFmtId="0" fontId="27" fillId="0" borderId="57" xfId="1" applyFont="1" applyBorder="1" applyAlignment="1">
      <alignment horizontal="center" vertical="center" shrinkToFit="1"/>
    </xf>
    <xf numFmtId="0" fontId="28" fillId="0" borderId="58" xfId="1" applyFont="1" applyBorder="1" applyAlignment="1">
      <alignment vertical="center" shrinkToFit="1"/>
    </xf>
    <xf numFmtId="0" fontId="28" fillId="0" borderId="59" xfId="1" applyFont="1" applyBorder="1" applyAlignment="1">
      <alignment vertical="center" shrinkToFit="1"/>
    </xf>
    <xf numFmtId="0" fontId="5" fillId="2" borderId="0" xfId="1" applyFont="1" applyFill="1" applyAlignment="1">
      <alignment horizontal="left" vertical="center"/>
    </xf>
    <xf numFmtId="0" fontId="21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25" fillId="0" borderId="0" xfId="1" applyFont="1" applyAlignment="1">
      <alignment horizontal="center" vertical="center" wrapText="1"/>
    </xf>
    <xf numFmtId="0" fontId="25" fillId="0" borderId="26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49" xfId="1" applyFont="1" applyBorder="1" applyAlignment="1">
      <alignment horizontal="center" vertical="center" wrapText="1"/>
    </xf>
    <xf numFmtId="0" fontId="25" fillId="0" borderId="50" xfId="1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 wrapText="1"/>
    </xf>
    <xf numFmtId="0" fontId="25" fillId="0" borderId="53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/>
    </xf>
    <xf numFmtId="0" fontId="25" fillId="0" borderId="54" xfId="1" applyFont="1" applyBorder="1" applyAlignment="1">
      <alignment horizontal="center" vertical="center"/>
    </xf>
    <xf numFmtId="0" fontId="25" fillId="0" borderId="52" xfId="1" applyFont="1" applyBorder="1" applyAlignment="1">
      <alignment horizontal="center" vertical="center"/>
    </xf>
    <xf numFmtId="0" fontId="25" fillId="0" borderId="55" xfId="1" applyFont="1" applyBorder="1" applyAlignment="1">
      <alignment horizontal="center" vertical="center"/>
    </xf>
    <xf numFmtId="0" fontId="29" fillId="0" borderId="63" xfId="1" applyFont="1" applyBorder="1" applyAlignment="1">
      <alignment horizontal="center" vertical="center" shrinkToFit="1"/>
    </xf>
    <xf numFmtId="0" fontId="30" fillId="0" borderId="61" xfId="1" applyFont="1" applyBorder="1" applyAlignment="1">
      <alignment vertical="center" shrinkToFit="1"/>
    </xf>
    <xf numFmtId="0" fontId="30" fillId="0" borderId="64" xfId="1" applyFont="1" applyBorder="1" applyAlignment="1">
      <alignment vertical="center" shrinkToFit="1"/>
    </xf>
    <xf numFmtId="0" fontId="30" fillId="0" borderId="67" xfId="1" applyFont="1" applyBorder="1" applyAlignment="1">
      <alignment vertical="center" shrinkToFit="1"/>
    </xf>
    <xf numFmtId="0" fontId="30" fillId="0" borderId="12" xfId="1" applyFont="1" applyBorder="1" applyAlignment="1">
      <alignment vertical="center" shrinkToFit="1"/>
    </xf>
    <xf numFmtId="0" fontId="30" fillId="0" borderId="68" xfId="1" applyFont="1" applyBorder="1" applyAlignment="1">
      <alignment vertical="center" shrinkToFit="1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0" xfId="0">
      <alignment vertical="center"/>
    </xf>
    <xf numFmtId="0" fontId="3" fillId="2" borderId="0" xfId="0" applyFont="1" applyFill="1" applyAlignment="1">
      <alignment horizontal="left" vertical="center" wrapText="1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9" fontId="15" fillId="2" borderId="27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5" fillId="0" borderId="13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left" vertical="center"/>
    </xf>
    <xf numFmtId="0" fontId="15" fillId="6" borderId="23" xfId="0" applyFont="1" applyFill="1" applyBorder="1" applyAlignment="1">
      <alignment horizontal="left" vertical="center"/>
    </xf>
    <xf numFmtId="0" fontId="15" fillId="6" borderId="24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43" fillId="2" borderId="0" xfId="0" applyFont="1" applyFill="1">
      <alignment vertical="center"/>
    </xf>
    <xf numFmtId="0" fontId="43" fillId="0" borderId="0" xfId="0" applyFont="1">
      <alignment vertical="center"/>
    </xf>
    <xf numFmtId="0" fontId="3" fillId="2" borderId="0" xfId="0" applyFont="1" applyFill="1" applyAlignment="1">
      <alignment horizontal="left"/>
    </xf>
    <xf numFmtId="49" fontId="17" fillId="2" borderId="20" xfId="0" applyNumberFormat="1" applyFont="1" applyFill="1" applyBorder="1" applyAlignment="1">
      <alignment horizontal="center" vertical="center"/>
    </xf>
    <xf numFmtId="49" fontId="17" fillId="2" borderId="19" xfId="0" applyNumberFormat="1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8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7" fillId="6" borderId="14" xfId="0" applyFont="1" applyFill="1" applyBorder="1" applyAlignment="1">
      <alignment horizontal="left" vertical="center"/>
    </xf>
    <xf numFmtId="0" fontId="17" fillId="6" borderId="43" xfId="0" applyFont="1" applyFill="1" applyBorder="1" applyAlignment="1">
      <alignment horizontal="left" vertical="center"/>
    </xf>
    <xf numFmtId="0" fontId="17" fillId="6" borderId="26" xfId="0" applyFont="1" applyFill="1" applyBorder="1" applyAlignment="1">
      <alignment horizontal="left" vertical="center"/>
    </xf>
    <xf numFmtId="0" fontId="17" fillId="6" borderId="1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18" fillId="7" borderId="0" xfId="0" applyFont="1" applyFill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177" fontId="8" fillId="0" borderId="49" xfId="0" applyNumberFormat="1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49" fontId="15" fillId="2" borderId="28" xfId="0" applyNumberFormat="1" applyFont="1" applyFill="1" applyBorder="1" applyAlignment="1">
      <alignment horizontal="center" vertical="center"/>
    </xf>
    <xf numFmtId="49" fontId="15" fillId="2" borderId="29" xfId="0" applyNumberFormat="1" applyFont="1" applyFill="1" applyBorder="1" applyAlignment="1">
      <alignment horizontal="center" vertical="center"/>
    </xf>
    <xf numFmtId="49" fontId="10" fillId="0" borderId="44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49" fontId="15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49" fontId="15" fillId="2" borderId="3" xfId="0" applyNumberFormat="1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left" vertical="center" shrinkToFit="1"/>
    </xf>
    <xf numFmtId="0" fontId="15" fillId="2" borderId="35" xfId="0" applyFont="1" applyFill="1" applyBorder="1" applyAlignment="1">
      <alignment horizontal="left" vertical="center" shrinkToFit="1"/>
    </xf>
    <xf numFmtId="0" fontId="15" fillId="2" borderId="36" xfId="0" applyFont="1" applyFill="1" applyBorder="1" applyAlignment="1">
      <alignment horizontal="left" vertical="center" shrinkToFit="1"/>
    </xf>
    <xf numFmtId="49" fontId="10" fillId="0" borderId="18" xfId="0" applyNumberFormat="1" applyFont="1" applyBorder="1" applyAlignment="1">
      <alignment horizontal="left" vertical="center"/>
    </xf>
    <xf numFmtId="49" fontId="15" fillId="2" borderId="29" xfId="0" applyNumberFormat="1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/>
    </xf>
    <xf numFmtId="49" fontId="10" fillId="2" borderId="8" xfId="0" applyNumberFormat="1" applyFont="1" applyFill="1" applyBorder="1" applyAlignment="1">
      <alignment horizontal="left" vertical="center"/>
    </xf>
    <xf numFmtId="49" fontId="10" fillId="2" borderId="9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25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49" fontId="10" fillId="2" borderId="18" xfId="0" applyNumberFormat="1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distributed" vertical="center" indent="12"/>
    </xf>
    <xf numFmtId="0" fontId="8" fillId="2" borderId="49" xfId="0" applyFont="1" applyFill="1" applyBorder="1" applyAlignment="1">
      <alignment horizontal="center" vertical="center"/>
    </xf>
  </cellXfs>
  <cellStyles count="5">
    <cellStyle name="ハイパーリンク" xfId="2" builtinId="8"/>
    <cellStyle name="ハイパーリンク 2" xfId="4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CJ87"/>
  <sheetViews>
    <sheetView showGridLines="0" tabSelected="1" zoomScaleNormal="100" zoomScaleSheetLayoutView="100" workbookViewId="0">
      <selection activeCell="AO32" sqref="AO32"/>
    </sheetView>
  </sheetViews>
  <sheetFormatPr defaultColWidth="2.44140625" defaultRowHeight="15" customHeight="1" x14ac:dyDescent="0.2"/>
  <cols>
    <col min="1" max="1" width="5" style="45" customWidth="1"/>
    <col min="2" max="5" width="2.33203125" style="45" customWidth="1"/>
    <col min="6" max="6" width="2.21875" style="45" customWidth="1"/>
    <col min="7" max="8" width="2.33203125" style="45" customWidth="1"/>
    <col min="9" max="9" width="2.21875" style="45" customWidth="1"/>
    <col min="10" max="36" width="2.33203125" style="45" customWidth="1"/>
    <col min="37" max="37" width="2.21875" style="45" customWidth="1"/>
    <col min="38" max="39" width="2.33203125" style="45" customWidth="1"/>
    <col min="40" max="40" width="2.44140625" style="45"/>
    <col min="41" max="52" width="4.6640625" style="45" customWidth="1"/>
    <col min="53" max="16384" width="2.44140625" style="45"/>
  </cols>
  <sheetData>
    <row r="1" spans="1:52" ht="21" customHeight="1" x14ac:dyDescent="0.2">
      <c r="A1" s="218" t="s">
        <v>27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O1" s="46" t="s">
        <v>28</v>
      </c>
      <c r="AP1" s="47"/>
      <c r="AQ1" s="47"/>
      <c r="AR1" s="47"/>
      <c r="AS1" s="48"/>
      <c r="AT1" s="48"/>
      <c r="AU1" s="48"/>
      <c r="AV1" s="48"/>
      <c r="AW1" s="48"/>
      <c r="AX1" s="48"/>
      <c r="AY1" s="48"/>
      <c r="AZ1" s="48"/>
    </row>
    <row r="2" spans="1:52" ht="21" customHeight="1" x14ac:dyDescent="0.2">
      <c r="A2" s="219" t="s">
        <v>81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</row>
    <row r="3" spans="1:52" ht="21" customHeight="1" x14ac:dyDescent="0.2">
      <c r="A3" s="220" t="s">
        <v>29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</row>
    <row r="4" spans="1:52" ht="21" customHeight="1" x14ac:dyDescent="0.2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</row>
    <row r="5" spans="1:52" ht="21" customHeight="1" x14ac:dyDescent="0.2">
      <c r="A5" s="109"/>
      <c r="B5" s="109"/>
      <c r="C5" s="109"/>
      <c r="D5" s="109"/>
      <c r="E5" s="109"/>
      <c r="F5" s="109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3"/>
      <c r="S5" s="223"/>
      <c r="T5" s="223"/>
      <c r="U5" s="223"/>
      <c r="V5" s="223"/>
      <c r="W5" s="223"/>
      <c r="X5" s="223"/>
      <c r="Y5" s="223"/>
      <c r="Z5" s="225"/>
      <c r="AA5" s="227" t="s">
        <v>30</v>
      </c>
      <c r="AB5" s="228"/>
      <c r="AC5" s="228"/>
      <c r="AD5" s="228"/>
      <c r="AE5" s="228"/>
      <c r="AF5" s="231" t="s">
        <v>20</v>
      </c>
      <c r="AG5" s="231"/>
      <c r="AH5" s="231"/>
      <c r="AI5" s="231"/>
      <c r="AJ5" s="231"/>
      <c r="AK5" s="231"/>
      <c r="AL5" s="231"/>
      <c r="AM5" s="233"/>
      <c r="AO5" s="47" t="s">
        <v>31</v>
      </c>
      <c r="AP5" s="49"/>
      <c r="AQ5" s="49"/>
      <c r="AR5" s="47" t="s">
        <v>32</v>
      </c>
      <c r="AS5" s="47"/>
      <c r="AT5" s="47"/>
      <c r="AU5" s="47"/>
      <c r="AV5" s="47"/>
      <c r="AW5" s="47"/>
      <c r="AX5" s="48"/>
      <c r="AY5" s="48"/>
      <c r="AZ5" s="48"/>
    </row>
    <row r="6" spans="1:52" ht="21" customHeight="1" thickBot="1" x14ac:dyDescent="0.25">
      <c r="A6" s="149"/>
      <c r="B6" s="149"/>
      <c r="C6" s="149"/>
      <c r="D6" s="149"/>
      <c r="E6" s="149"/>
      <c r="F6" s="149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4"/>
      <c r="S6" s="224"/>
      <c r="T6" s="224"/>
      <c r="U6" s="224"/>
      <c r="V6" s="224"/>
      <c r="W6" s="224"/>
      <c r="X6" s="224"/>
      <c r="Y6" s="224"/>
      <c r="Z6" s="226"/>
      <c r="AA6" s="229"/>
      <c r="AB6" s="230"/>
      <c r="AC6" s="230"/>
      <c r="AD6" s="230"/>
      <c r="AE6" s="230"/>
      <c r="AF6" s="232"/>
      <c r="AG6" s="232"/>
      <c r="AH6" s="232"/>
      <c r="AI6" s="232"/>
      <c r="AJ6" s="232"/>
      <c r="AK6" s="232"/>
      <c r="AL6" s="232"/>
      <c r="AM6" s="234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</row>
    <row r="7" spans="1:52" ht="21" customHeight="1" x14ac:dyDescent="0.2">
      <c r="A7" s="212" t="s">
        <v>10</v>
      </c>
      <c r="B7" s="213"/>
      <c r="C7" s="213"/>
      <c r="D7" s="213"/>
      <c r="E7" s="213"/>
      <c r="F7" s="214"/>
      <c r="G7" s="215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7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</row>
    <row r="8" spans="1:52" ht="21" customHeight="1" x14ac:dyDescent="0.2">
      <c r="A8" s="197" t="s">
        <v>33</v>
      </c>
      <c r="B8" s="198"/>
      <c r="C8" s="198"/>
      <c r="D8" s="198"/>
      <c r="E8" s="198"/>
      <c r="F8" s="199"/>
      <c r="G8" s="235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7"/>
      <c r="AO8" s="48" t="s">
        <v>34</v>
      </c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</row>
    <row r="9" spans="1:52" ht="21" customHeight="1" x14ac:dyDescent="0.2">
      <c r="A9" s="110"/>
      <c r="B9" s="111"/>
      <c r="C9" s="111"/>
      <c r="D9" s="111"/>
      <c r="E9" s="111"/>
      <c r="F9" s="133"/>
      <c r="G9" s="238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40"/>
      <c r="AO9" s="58" t="s">
        <v>77</v>
      </c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</row>
    <row r="10" spans="1:52" ht="21" customHeight="1" x14ac:dyDescent="0.2">
      <c r="A10" s="182" t="s">
        <v>10</v>
      </c>
      <c r="B10" s="183"/>
      <c r="C10" s="183"/>
      <c r="D10" s="183"/>
      <c r="E10" s="183"/>
      <c r="F10" s="184"/>
      <c r="G10" s="185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7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</row>
    <row r="11" spans="1:52" ht="21" customHeight="1" x14ac:dyDescent="0.15">
      <c r="A11" s="197" t="s">
        <v>35</v>
      </c>
      <c r="B11" s="198"/>
      <c r="C11" s="198"/>
      <c r="D11" s="198"/>
      <c r="E11" s="198"/>
      <c r="F11" s="199"/>
      <c r="G11" s="50" t="s">
        <v>36</v>
      </c>
      <c r="H11" s="201"/>
      <c r="I11" s="201"/>
      <c r="J11" s="50" t="s">
        <v>37</v>
      </c>
      <c r="K11" s="202"/>
      <c r="L11" s="202"/>
      <c r="M11" s="203"/>
      <c r="N11" s="51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4"/>
      <c r="AO11" s="48" t="s">
        <v>38</v>
      </c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</row>
    <row r="12" spans="1:52" ht="21" customHeight="1" x14ac:dyDescent="0.2">
      <c r="A12" s="132"/>
      <c r="B12" s="109"/>
      <c r="C12" s="109"/>
      <c r="D12" s="109"/>
      <c r="E12" s="109"/>
      <c r="F12" s="113"/>
      <c r="G12" s="204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6"/>
      <c r="AO12" s="48" t="s">
        <v>39</v>
      </c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</row>
    <row r="13" spans="1:52" ht="21" customHeight="1" x14ac:dyDescent="0.2">
      <c r="A13" s="200"/>
      <c r="B13" s="117"/>
      <c r="C13" s="117"/>
      <c r="D13" s="117"/>
      <c r="E13" s="117"/>
      <c r="F13" s="118"/>
      <c r="G13" s="207" t="s">
        <v>40</v>
      </c>
      <c r="H13" s="208"/>
      <c r="I13" s="209"/>
      <c r="J13" s="209"/>
      <c r="K13" s="209"/>
      <c r="L13" s="209"/>
      <c r="M13" s="209"/>
      <c r="N13" s="209"/>
      <c r="O13" s="209"/>
      <c r="P13" s="209"/>
      <c r="Q13" s="209"/>
      <c r="R13" s="210"/>
      <c r="S13" s="208" t="s">
        <v>75</v>
      </c>
      <c r="T13" s="208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55"/>
      <c r="AG13" s="56"/>
      <c r="AH13" s="56"/>
      <c r="AI13" s="56"/>
      <c r="AJ13" s="56"/>
      <c r="AK13" s="56"/>
      <c r="AL13" s="56"/>
      <c r="AM13" s="57"/>
      <c r="AO13" s="48" t="s">
        <v>41</v>
      </c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</row>
    <row r="14" spans="1:52" ht="21" customHeight="1" x14ac:dyDescent="0.2">
      <c r="A14" s="188" t="s">
        <v>10</v>
      </c>
      <c r="B14" s="189"/>
      <c r="C14" s="189"/>
      <c r="D14" s="189"/>
      <c r="E14" s="189"/>
      <c r="F14" s="190"/>
      <c r="G14" s="191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3"/>
      <c r="AA14" s="194" t="s">
        <v>42</v>
      </c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6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</row>
    <row r="15" spans="1:52" ht="21" customHeight="1" x14ac:dyDescent="0.2">
      <c r="A15" s="158" t="s">
        <v>43</v>
      </c>
      <c r="B15" s="159"/>
      <c r="C15" s="159"/>
      <c r="D15" s="159"/>
      <c r="E15" s="159"/>
      <c r="F15" s="160"/>
      <c r="G15" s="164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6"/>
      <c r="AA15" s="170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2"/>
      <c r="AO15" s="48" t="s">
        <v>44</v>
      </c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</row>
    <row r="16" spans="1:52" ht="21" customHeight="1" x14ac:dyDescent="0.2">
      <c r="A16" s="161"/>
      <c r="B16" s="162"/>
      <c r="C16" s="162"/>
      <c r="D16" s="162"/>
      <c r="E16" s="162"/>
      <c r="F16" s="163"/>
      <c r="G16" s="167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9"/>
      <c r="AA16" s="173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5"/>
      <c r="AO16" s="48" t="s">
        <v>45</v>
      </c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</row>
    <row r="17" spans="1:88" ht="21" customHeight="1" thickBot="1" x14ac:dyDescent="0.25">
      <c r="A17" s="176" t="s">
        <v>46</v>
      </c>
      <c r="B17" s="177"/>
      <c r="C17" s="177"/>
      <c r="D17" s="177"/>
      <c r="E17" s="177"/>
      <c r="F17" s="178"/>
      <c r="G17" s="179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1"/>
      <c r="AO17" s="48" t="s">
        <v>47</v>
      </c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</row>
    <row r="18" spans="1:88" ht="21" customHeight="1" x14ac:dyDescent="0.2">
      <c r="A18" s="106" t="s">
        <v>48</v>
      </c>
      <c r="B18" s="107"/>
      <c r="C18" s="107"/>
      <c r="D18" s="107"/>
      <c r="E18" s="107"/>
      <c r="F18" s="107"/>
      <c r="G18" s="145" t="s">
        <v>49</v>
      </c>
      <c r="H18" s="146"/>
      <c r="I18" s="146"/>
      <c r="J18" s="146"/>
      <c r="K18" s="146"/>
      <c r="L18" s="147"/>
      <c r="M18" s="112" t="s">
        <v>50</v>
      </c>
      <c r="N18" s="154" t="s">
        <v>71</v>
      </c>
      <c r="O18" s="107"/>
      <c r="P18" s="107"/>
      <c r="Q18" s="107"/>
      <c r="R18" s="107"/>
      <c r="S18" s="156" t="s">
        <v>72</v>
      </c>
      <c r="T18" s="107"/>
      <c r="U18" s="107"/>
      <c r="V18" s="107"/>
      <c r="W18" s="115"/>
      <c r="X18" s="114" t="s">
        <v>73</v>
      </c>
      <c r="Y18" s="107"/>
      <c r="Z18" s="107"/>
      <c r="AA18" s="107"/>
      <c r="AB18" s="115"/>
      <c r="AC18" s="119" t="s">
        <v>74</v>
      </c>
      <c r="AD18" s="107"/>
      <c r="AE18" s="107"/>
      <c r="AF18" s="107"/>
      <c r="AG18" s="120"/>
      <c r="AH18" s="84"/>
      <c r="AI18" s="84"/>
      <c r="AJ18" s="84"/>
      <c r="AK18" s="84"/>
      <c r="AL18" s="84"/>
      <c r="AM18" s="85"/>
      <c r="AO18" s="94" t="s">
        <v>63</v>
      </c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C18" s="88"/>
      <c r="BD18" s="88"/>
      <c r="BE18" s="88"/>
      <c r="BF18" s="88"/>
      <c r="BG18" s="93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9"/>
      <c r="BZ18" s="89"/>
      <c r="CA18" s="89"/>
      <c r="CB18" s="89"/>
      <c r="CC18" s="90"/>
      <c r="CD18" s="90"/>
      <c r="CE18" s="90"/>
      <c r="CF18" s="90"/>
      <c r="CG18" s="96"/>
      <c r="CH18" s="96"/>
      <c r="CI18" s="96"/>
      <c r="CJ18" s="96"/>
    </row>
    <row r="19" spans="1:88" ht="21" customHeight="1" thickBot="1" x14ac:dyDescent="0.25">
      <c r="A19" s="108"/>
      <c r="B19" s="109"/>
      <c r="C19" s="109"/>
      <c r="D19" s="109"/>
      <c r="E19" s="109"/>
      <c r="F19" s="109"/>
      <c r="G19" s="148"/>
      <c r="H19" s="149"/>
      <c r="I19" s="149"/>
      <c r="J19" s="149"/>
      <c r="K19" s="149"/>
      <c r="L19" s="150"/>
      <c r="M19" s="113"/>
      <c r="N19" s="155"/>
      <c r="O19" s="109"/>
      <c r="P19" s="109"/>
      <c r="Q19" s="109"/>
      <c r="R19" s="109"/>
      <c r="S19" s="157"/>
      <c r="T19" s="117"/>
      <c r="U19" s="117"/>
      <c r="V19" s="117"/>
      <c r="W19" s="118"/>
      <c r="X19" s="116"/>
      <c r="Y19" s="117"/>
      <c r="Z19" s="117"/>
      <c r="AA19" s="117"/>
      <c r="AB19" s="118"/>
      <c r="AC19" s="117"/>
      <c r="AD19" s="117"/>
      <c r="AE19" s="117"/>
      <c r="AF19" s="117"/>
      <c r="AG19" s="121"/>
      <c r="AH19" s="86"/>
      <c r="AI19" s="86"/>
      <c r="AJ19" s="86"/>
      <c r="AK19" s="86"/>
      <c r="AL19" s="86"/>
      <c r="AM19" s="87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C19" s="88"/>
      <c r="BD19" s="88"/>
      <c r="BE19" s="88"/>
      <c r="CB19" s="89"/>
      <c r="CC19" s="90"/>
      <c r="CD19" s="90"/>
      <c r="CE19" s="90"/>
      <c r="CF19" s="90"/>
      <c r="CG19" s="96"/>
      <c r="CH19" s="96"/>
      <c r="CI19" s="96"/>
      <c r="CJ19" s="96"/>
    </row>
    <row r="20" spans="1:88" ht="21" customHeight="1" x14ac:dyDescent="0.15">
      <c r="A20" s="108"/>
      <c r="B20" s="109"/>
      <c r="C20" s="109"/>
      <c r="D20" s="109"/>
      <c r="E20" s="109"/>
      <c r="F20" s="109"/>
      <c r="G20" s="151" t="str">
        <f>IF($N$20="","",N20+AC20)</f>
        <v/>
      </c>
      <c r="H20" s="152"/>
      <c r="I20" s="152"/>
      <c r="J20" s="152"/>
      <c r="K20" s="153"/>
      <c r="L20" s="100" t="s">
        <v>51</v>
      </c>
      <c r="M20" s="113"/>
      <c r="N20" s="122"/>
      <c r="O20" s="122"/>
      <c r="P20" s="123"/>
      <c r="Q20" s="123"/>
      <c r="R20" s="104" t="s">
        <v>51</v>
      </c>
      <c r="S20" s="122"/>
      <c r="T20" s="122"/>
      <c r="U20" s="123"/>
      <c r="V20" s="123"/>
      <c r="W20" s="102" t="s">
        <v>51</v>
      </c>
      <c r="X20" s="123"/>
      <c r="Y20" s="122"/>
      <c r="Z20" s="123"/>
      <c r="AA20" s="123"/>
      <c r="AB20" s="102" t="s">
        <v>51</v>
      </c>
      <c r="AC20" s="128" t="str">
        <f>IF($S$20="","",S20+X20)</f>
        <v/>
      </c>
      <c r="AD20" s="128"/>
      <c r="AE20" s="128"/>
      <c r="AF20" s="129"/>
      <c r="AG20" s="104" t="s">
        <v>51</v>
      </c>
      <c r="AH20" s="86"/>
      <c r="AI20" s="86"/>
      <c r="AJ20" s="86"/>
      <c r="AK20" s="86"/>
      <c r="AL20" s="86"/>
      <c r="AM20" s="87"/>
      <c r="AO20" s="47" t="s">
        <v>76</v>
      </c>
      <c r="AP20" s="47"/>
      <c r="AQ20" s="47"/>
      <c r="AR20" s="47"/>
      <c r="AS20" s="47"/>
      <c r="AT20" s="47"/>
      <c r="AU20" s="47"/>
      <c r="AV20" s="47"/>
      <c r="AW20" s="47"/>
      <c r="AX20" s="47"/>
      <c r="AY20" s="48"/>
      <c r="AZ20" s="48"/>
      <c r="BC20" s="97"/>
      <c r="BD20" s="97"/>
      <c r="BE20" s="97"/>
      <c r="CB20" s="91"/>
      <c r="CC20" s="92"/>
      <c r="CD20" s="92"/>
      <c r="CE20" s="92"/>
      <c r="CF20" s="91"/>
      <c r="CG20" s="96"/>
      <c r="CH20" s="96"/>
      <c r="CI20" s="96"/>
      <c r="CJ20" s="96"/>
    </row>
    <row r="21" spans="1:88" ht="21" customHeight="1" x14ac:dyDescent="0.15">
      <c r="A21" s="110"/>
      <c r="B21" s="111"/>
      <c r="C21" s="111"/>
      <c r="D21" s="111"/>
      <c r="E21" s="111"/>
      <c r="F21" s="111"/>
      <c r="G21" s="151"/>
      <c r="H21" s="152"/>
      <c r="I21" s="152"/>
      <c r="J21" s="152"/>
      <c r="K21" s="153"/>
      <c r="L21" s="101"/>
      <c r="M21" s="113"/>
      <c r="N21" s="124"/>
      <c r="O21" s="124"/>
      <c r="P21" s="125"/>
      <c r="Q21" s="125"/>
      <c r="R21" s="105"/>
      <c r="S21" s="126"/>
      <c r="T21" s="126"/>
      <c r="U21" s="127"/>
      <c r="V21" s="127"/>
      <c r="W21" s="103"/>
      <c r="X21" s="127"/>
      <c r="Y21" s="126"/>
      <c r="Z21" s="127"/>
      <c r="AA21" s="127"/>
      <c r="AB21" s="103"/>
      <c r="AC21" s="130"/>
      <c r="AD21" s="130"/>
      <c r="AE21" s="130"/>
      <c r="AF21" s="131"/>
      <c r="AG21" s="105"/>
      <c r="AH21" s="86"/>
      <c r="AI21" s="86"/>
      <c r="AJ21" s="86"/>
      <c r="AK21" s="86"/>
      <c r="AL21" s="86"/>
      <c r="AM21" s="87"/>
      <c r="AO21" s="47" t="s">
        <v>82</v>
      </c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C21" s="97"/>
      <c r="BD21" s="97"/>
      <c r="BE21" s="97"/>
      <c r="CB21" s="91"/>
      <c r="CC21" s="92"/>
      <c r="CD21" s="92"/>
      <c r="CE21" s="92"/>
      <c r="CF21" s="91"/>
      <c r="CG21" s="96"/>
      <c r="CH21" s="96"/>
      <c r="CI21" s="96"/>
      <c r="CJ21" s="96"/>
    </row>
    <row r="22" spans="1:88" ht="78" customHeight="1" x14ac:dyDescent="0.2">
      <c r="A22" s="132" t="s">
        <v>52</v>
      </c>
      <c r="B22" s="109"/>
      <c r="C22" s="109"/>
      <c r="D22" s="109"/>
      <c r="E22" s="109"/>
      <c r="F22" s="113"/>
      <c r="G22" s="134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6"/>
      <c r="AO22" s="58" t="s">
        <v>53</v>
      </c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</row>
    <row r="23" spans="1:88" ht="78" customHeight="1" x14ac:dyDescent="0.2">
      <c r="A23" s="110"/>
      <c r="B23" s="111"/>
      <c r="C23" s="111"/>
      <c r="D23" s="111"/>
      <c r="E23" s="111"/>
      <c r="F23" s="133"/>
      <c r="G23" s="137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9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</row>
    <row r="24" spans="1:88" ht="15.75" customHeight="1" x14ac:dyDescent="0.2">
      <c r="A24" s="59"/>
      <c r="B24" s="60" t="s">
        <v>54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2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63"/>
      <c r="BB24" s="63"/>
      <c r="BC24" s="63"/>
      <c r="BD24" s="63"/>
      <c r="BE24" s="63"/>
      <c r="BF24" s="63"/>
      <c r="BG24" s="63"/>
      <c r="BH24" s="63"/>
      <c r="BI24" s="63"/>
      <c r="BJ24" s="63"/>
    </row>
    <row r="25" spans="1:88" ht="12" customHeight="1" x14ac:dyDescent="0.2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140" t="s">
        <v>83</v>
      </c>
      <c r="Z25" s="140"/>
      <c r="AA25" s="140"/>
      <c r="AB25" s="140"/>
      <c r="AC25" s="141"/>
      <c r="AD25" s="141"/>
      <c r="AE25" s="66" t="s">
        <v>55</v>
      </c>
      <c r="AF25" s="141"/>
      <c r="AG25" s="141"/>
      <c r="AH25" s="66" t="s">
        <v>56</v>
      </c>
      <c r="AI25" s="65"/>
      <c r="AJ25" s="65"/>
      <c r="AK25" s="65"/>
      <c r="AL25" s="65"/>
      <c r="AM25" s="67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63"/>
      <c r="BB25" s="63"/>
      <c r="BC25" s="63"/>
      <c r="BD25" s="63"/>
      <c r="BE25" s="63"/>
      <c r="BF25" s="63"/>
      <c r="BG25" s="63"/>
      <c r="BH25" s="63"/>
      <c r="BI25" s="63"/>
      <c r="BJ25" s="63"/>
    </row>
    <row r="26" spans="1:88" ht="14.25" customHeight="1" x14ac:dyDescent="0.2">
      <c r="A26" s="64"/>
      <c r="B26" s="66" t="s">
        <v>57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7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63"/>
      <c r="BB26" s="63"/>
      <c r="BC26" s="63"/>
      <c r="BD26" s="63"/>
      <c r="BE26" s="63"/>
      <c r="BF26" s="63"/>
      <c r="BG26" s="63"/>
      <c r="BH26" s="63"/>
      <c r="BI26" s="63"/>
      <c r="BJ26" s="63"/>
    </row>
    <row r="27" spans="1:88" ht="15" customHeight="1" x14ac:dyDescent="0.2">
      <c r="A27" s="64"/>
      <c r="B27" s="66" t="s">
        <v>58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7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</row>
    <row r="28" spans="1:88" ht="7.5" customHeight="1" x14ac:dyDescent="0.2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7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</row>
    <row r="29" spans="1:88" ht="5.25" customHeight="1" x14ac:dyDescent="0.2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7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</row>
    <row r="30" spans="1:88" ht="22.5" customHeight="1" x14ac:dyDescent="0.2">
      <c r="A30" s="64"/>
      <c r="B30" s="65"/>
      <c r="C30" s="65" t="s">
        <v>59</v>
      </c>
      <c r="D30" s="66"/>
      <c r="E30" s="65"/>
      <c r="F30" s="142">
        <f>G8</f>
        <v>0</v>
      </c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65" t="s">
        <v>60</v>
      </c>
      <c r="U30" s="65"/>
      <c r="V30" s="65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65"/>
      <c r="AJ30" s="144"/>
      <c r="AK30" s="144"/>
      <c r="AL30" s="65"/>
      <c r="AM30" s="67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</row>
    <row r="31" spans="1:88" s="63" customFormat="1" ht="20.25" customHeight="1" thickBot="1" x14ac:dyDescent="0.25">
      <c r="A31" s="68"/>
      <c r="B31" s="69"/>
      <c r="C31" s="70"/>
      <c r="D31" s="71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2"/>
      <c r="AK31" s="70"/>
      <c r="AL31" s="70"/>
      <c r="AM31" s="73"/>
      <c r="AO31" s="48" t="s">
        <v>78</v>
      </c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</row>
    <row r="32" spans="1:88" s="63" customFormat="1" ht="24" customHeight="1" x14ac:dyDescent="0.2">
      <c r="A32" s="65"/>
      <c r="B32" s="65"/>
      <c r="C32" s="65"/>
      <c r="D32" s="66"/>
      <c r="E32" s="65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65"/>
      <c r="S32" s="74"/>
      <c r="T32" s="65"/>
      <c r="U32" s="65"/>
      <c r="V32" s="6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65"/>
      <c r="AJ32" s="76"/>
      <c r="AK32" s="77"/>
      <c r="AL32" s="78"/>
      <c r="AM32" s="81" t="s">
        <v>61</v>
      </c>
      <c r="AO32" s="95" t="s">
        <v>79</v>
      </c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</row>
    <row r="33" spans="1:52" ht="24" customHeight="1" x14ac:dyDescent="0.2">
      <c r="A33" s="82" t="s">
        <v>84</v>
      </c>
      <c r="B33" s="79"/>
      <c r="C33" s="65"/>
      <c r="D33" s="66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76"/>
      <c r="AK33" s="65"/>
      <c r="AL33" s="65"/>
      <c r="AM33" s="65"/>
      <c r="AO33" s="48" t="s">
        <v>80</v>
      </c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</row>
    <row r="34" spans="1:52" ht="15" customHeight="1" x14ac:dyDescent="0.2">
      <c r="A34" s="98"/>
      <c r="B34" s="99"/>
      <c r="C34" s="80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</row>
    <row r="35" spans="1:52" ht="15" customHeight="1" x14ac:dyDescent="0.2">
      <c r="A35" s="98"/>
      <c r="B35" s="99"/>
      <c r="C35" s="80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</row>
    <row r="36" spans="1:52" ht="15" customHeight="1" x14ac:dyDescent="0.2">
      <c r="A36" s="98"/>
      <c r="B36" s="9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</row>
    <row r="37" spans="1:52" ht="15" customHeight="1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</row>
    <row r="38" spans="1:52" ht="15" customHeight="1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</row>
    <row r="39" spans="1:52" ht="15" customHeight="1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</row>
    <row r="40" spans="1:52" ht="15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</row>
    <row r="41" spans="1:52" ht="15" customHeight="1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</row>
    <row r="42" spans="1:52" ht="15" customHeight="1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52" ht="15" customHeight="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</row>
    <row r="44" spans="1:52" ht="15" customHeight="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</row>
    <row r="45" spans="1:52" ht="15" customHeight="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</row>
    <row r="46" spans="1:52" ht="15" customHeight="1" x14ac:dyDescent="0.2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</row>
    <row r="47" spans="1:52" ht="15" customHeight="1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</row>
    <row r="48" spans="1:52" ht="15" customHeight="1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</row>
    <row r="49" spans="1:39" ht="15" customHeight="1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</row>
    <row r="50" spans="1:39" ht="15" customHeight="1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</row>
    <row r="51" spans="1:39" ht="15" customHeight="1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</row>
    <row r="52" spans="1:39" ht="15" customHeight="1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</row>
    <row r="53" spans="1:39" ht="15" customHeight="1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</row>
    <row r="54" spans="1:39" ht="15" customHeight="1" x14ac:dyDescent="0.2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</row>
    <row r="55" spans="1:39" ht="15" customHeight="1" x14ac:dyDescent="0.2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</row>
    <row r="56" spans="1:39" ht="15" customHeight="1" x14ac:dyDescent="0.2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</row>
    <row r="57" spans="1:39" ht="15" customHeight="1" x14ac:dyDescent="0.2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</row>
    <row r="58" spans="1:39" ht="1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</row>
    <row r="59" spans="1:39" ht="15" customHeight="1" x14ac:dyDescent="0.2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</row>
    <row r="60" spans="1:39" ht="1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</row>
    <row r="61" spans="1:39" ht="15" customHeight="1" x14ac:dyDescent="0.2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</row>
    <row r="62" spans="1:39" ht="15" customHeight="1" x14ac:dyDescent="0.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</row>
    <row r="63" spans="1:39" ht="15" customHeight="1" x14ac:dyDescent="0.2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</row>
    <row r="64" spans="1:39" ht="15" customHeight="1" x14ac:dyDescent="0.2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</row>
    <row r="65" spans="1:39" ht="15" customHeight="1" x14ac:dyDescent="0.2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</row>
    <row r="66" spans="1:39" ht="15" customHeight="1" x14ac:dyDescent="0.2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</row>
    <row r="67" spans="1:39" ht="15" customHeight="1" x14ac:dyDescent="0.2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</row>
    <row r="68" spans="1:39" ht="15" customHeight="1" x14ac:dyDescent="0.2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</row>
    <row r="69" spans="1:39" ht="15" customHeight="1" x14ac:dyDescent="0.2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</row>
    <row r="70" spans="1:39" ht="15" customHeight="1" x14ac:dyDescent="0.2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</row>
    <row r="71" spans="1:39" ht="15" customHeight="1" x14ac:dyDescent="0.2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</row>
    <row r="72" spans="1:39" ht="15" customHeight="1" x14ac:dyDescent="0.2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</row>
    <row r="73" spans="1:39" ht="15" customHeight="1" x14ac:dyDescent="0.2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</row>
    <row r="74" spans="1:39" ht="15" customHeight="1" x14ac:dyDescent="0.2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</row>
    <row r="75" spans="1:39" ht="15" customHeight="1" x14ac:dyDescent="0.2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</row>
    <row r="76" spans="1:39" ht="15" customHeight="1" x14ac:dyDescent="0.2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</row>
    <row r="77" spans="1:39" ht="15" customHeight="1" x14ac:dyDescent="0.2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</row>
    <row r="78" spans="1:39" ht="15" customHeight="1" x14ac:dyDescent="0.2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</row>
    <row r="79" spans="1:39" ht="15" customHeight="1" x14ac:dyDescent="0.2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</row>
    <row r="80" spans="1:39" ht="15" customHeight="1" x14ac:dyDescent="0.2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</row>
    <row r="81" spans="1:39" ht="15" customHeight="1" x14ac:dyDescent="0.2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</row>
    <row r="82" spans="1:39" ht="15" customHeight="1" x14ac:dyDescent="0.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</row>
    <row r="83" spans="1:39" ht="15" customHeight="1" x14ac:dyDescent="0.2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</row>
    <row r="84" spans="1:39" ht="15" customHeight="1" x14ac:dyDescent="0.2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</row>
    <row r="85" spans="1:39" ht="15" customHeight="1" x14ac:dyDescent="0.2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</row>
    <row r="86" spans="1:39" ht="15" customHeight="1" x14ac:dyDescent="0.2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</row>
    <row r="87" spans="1:39" ht="15" customHeight="1" x14ac:dyDescent="0.2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</row>
  </sheetData>
  <mergeCells count="63">
    <mergeCell ref="A7:F7"/>
    <mergeCell ref="G7:AM7"/>
    <mergeCell ref="A8:F9"/>
    <mergeCell ref="A1:S1"/>
    <mergeCell ref="T1:AM1"/>
    <mergeCell ref="A2:AM2"/>
    <mergeCell ref="A3:AM4"/>
    <mergeCell ref="A5:F6"/>
    <mergeCell ref="G5:Q6"/>
    <mergeCell ref="R5:V6"/>
    <mergeCell ref="W5:Z6"/>
    <mergeCell ref="AA5:AE6"/>
    <mergeCell ref="AF5:AI6"/>
    <mergeCell ref="AJ5:AM6"/>
    <mergeCell ref="G8:AM9"/>
    <mergeCell ref="A10:F10"/>
    <mergeCell ref="G10:AM10"/>
    <mergeCell ref="A14:F14"/>
    <mergeCell ref="G14:Z14"/>
    <mergeCell ref="AA14:AM14"/>
    <mergeCell ref="A11:F13"/>
    <mergeCell ref="H11:I11"/>
    <mergeCell ref="K11:M11"/>
    <mergeCell ref="G12:AM12"/>
    <mergeCell ref="G13:H13"/>
    <mergeCell ref="I13:R13"/>
    <mergeCell ref="S13:T13"/>
    <mergeCell ref="U13:AE13"/>
    <mergeCell ref="A15:F16"/>
    <mergeCell ref="G15:Z16"/>
    <mergeCell ref="AA15:AM16"/>
    <mergeCell ref="A17:F17"/>
    <mergeCell ref="G17:AM17"/>
    <mergeCell ref="G18:L19"/>
    <mergeCell ref="G20:K21"/>
    <mergeCell ref="N18:R19"/>
    <mergeCell ref="R20:R21"/>
    <mergeCell ref="S18:W19"/>
    <mergeCell ref="A36:B36"/>
    <mergeCell ref="A22:F23"/>
    <mergeCell ref="G22:AM23"/>
    <mergeCell ref="Y25:AB25"/>
    <mergeCell ref="AC25:AD25"/>
    <mergeCell ref="AF25:AG25"/>
    <mergeCell ref="F30:S30"/>
    <mergeCell ref="W30:AH30"/>
    <mergeCell ref="AJ30:AK30"/>
    <mergeCell ref="CG18:CJ21"/>
    <mergeCell ref="BC20:BE21"/>
    <mergeCell ref="A34:B34"/>
    <mergeCell ref="A35:B35"/>
    <mergeCell ref="L20:L21"/>
    <mergeCell ref="W20:W21"/>
    <mergeCell ref="AG20:AG21"/>
    <mergeCell ref="A18:F21"/>
    <mergeCell ref="M18:M21"/>
    <mergeCell ref="X18:AB19"/>
    <mergeCell ref="AC18:AG19"/>
    <mergeCell ref="AB20:AB21"/>
    <mergeCell ref="N20:Q21"/>
    <mergeCell ref="S20:V21"/>
    <mergeCell ref="X20:AA21"/>
    <mergeCell ref="AC20:AF21"/>
  </mergeCells>
  <phoneticPr fontId="19"/>
  <conditionalFormatting sqref="G7:G8 G22:AM23 AC25:AD25 AF25:AG25 W30:AH30">
    <cfRule type="cellIs" dxfId="14" priority="10" operator="equal">
      <formula>""</formula>
    </cfRule>
  </conditionalFormatting>
  <conditionalFormatting sqref="G14:Z16 AA15:AM16">
    <cfRule type="cellIs" dxfId="13" priority="5" operator="equal">
      <formula>""</formula>
    </cfRule>
  </conditionalFormatting>
  <conditionalFormatting sqref="G7:AM7">
    <cfRule type="cellIs" dxfId="12" priority="9" operator="equal">
      <formula>""""""</formula>
    </cfRule>
  </conditionalFormatting>
  <conditionalFormatting sqref="G7:AM9">
    <cfRule type="cellIs" dxfId="11" priority="8" operator="equal">
      <formula>""""""</formula>
    </cfRule>
  </conditionalFormatting>
  <conditionalFormatting sqref="G10:AM10">
    <cfRule type="cellIs" dxfId="10" priority="7" operator="equal">
      <formula>""</formula>
    </cfRule>
  </conditionalFormatting>
  <conditionalFormatting sqref="H11:I11 K11:M11 G12:AM12 I13:R13 U13:AE13 G17:AM17">
    <cfRule type="cellIs" dxfId="9" priority="6" operator="equal">
      <formula>""</formula>
    </cfRule>
  </conditionalFormatting>
  <conditionalFormatting sqref="N20:Q21">
    <cfRule type="cellIs" dxfId="8" priority="3" operator="equal">
      <formula>""</formula>
    </cfRule>
  </conditionalFormatting>
  <conditionalFormatting sqref="S20:V21">
    <cfRule type="cellIs" dxfId="7" priority="2" operator="equal">
      <formula>""</formula>
    </cfRule>
  </conditionalFormatting>
  <conditionalFormatting sqref="X20:AA21">
    <cfRule type="cellIs" dxfId="6" priority="1" operator="equal">
      <formula>""</formula>
    </cfRule>
  </conditionalFormatting>
  <pageMargins left="0.62992125984251968" right="0.15748031496062992" top="0.78740157480314965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K41"/>
  <sheetViews>
    <sheetView view="pageBreakPreview" topLeftCell="A15" zoomScaleNormal="100" zoomScaleSheetLayoutView="100" workbookViewId="0">
      <selection activeCell="AN30" sqref="AN30"/>
    </sheetView>
  </sheetViews>
  <sheetFormatPr defaultColWidth="9" defaultRowHeight="12" x14ac:dyDescent="0.2"/>
  <cols>
    <col min="1" max="36" width="2.44140625" style="3" customWidth="1"/>
    <col min="37" max="16384" width="9" style="3"/>
  </cols>
  <sheetData>
    <row r="1" spans="1:37" ht="13.2" x14ac:dyDescent="0.2">
      <c r="A1" s="40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  <row r="2" spans="1:37" ht="15" customHeight="1" x14ac:dyDescent="0.2">
      <c r="A2" s="242" t="s">
        <v>85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1"/>
      <c r="Q2" s="1"/>
      <c r="R2" s="1"/>
      <c r="S2" s="1" t="s">
        <v>6</v>
      </c>
      <c r="T2" s="292"/>
      <c r="U2" s="292"/>
      <c r="V2" s="292"/>
      <c r="W2" s="1" t="s">
        <v>7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7" ht="15" customHeight="1" x14ac:dyDescent="0.2">
      <c r="A3" s="244" t="s">
        <v>19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1"/>
      <c r="P3" s="1"/>
      <c r="Q3" s="1"/>
      <c r="R3" s="1"/>
      <c r="S3" s="1" t="s">
        <v>12</v>
      </c>
      <c r="T3" s="1" t="s">
        <v>13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7" ht="15" customHeight="1" x14ac:dyDescent="0.2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7" ht="1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7" ht="15" customHeight="1" x14ac:dyDescent="0.2">
      <c r="A6" s="297"/>
      <c r="B6" s="297"/>
      <c r="C6" s="297"/>
      <c r="D6" s="297"/>
      <c r="E6" s="297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6"/>
    </row>
    <row r="7" spans="1:37" ht="15" customHeight="1" thickBot="1" x14ac:dyDescent="0.25">
      <c r="A7" s="298"/>
      <c r="B7" s="298"/>
      <c r="C7" s="298"/>
      <c r="D7" s="298"/>
      <c r="E7" s="298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9"/>
      <c r="Q7" s="29"/>
      <c r="R7" s="29"/>
      <c r="S7" s="29"/>
      <c r="T7" s="29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</row>
    <row r="8" spans="1:37" ht="15" customHeight="1" x14ac:dyDescent="0.2">
      <c r="A8" s="248" t="s">
        <v>2</v>
      </c>
      <c r="B8" s="249"/>
      <c r="C8" s="249"/>
      <c r="D8" s="249"/>
      <c r="E8" s="249"/>
      <c r="F8" s="250">
        <f>'様式１　茶道参加申込書'!G7</f>
        <v>0</v>
      </c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4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1"/>
      <c r="AK8" s="16"/>
    </row>
    <row r="9" spans="1:37" ht="15" customHeight="1" x14ac:dyDescent="0.2">
      <c r="A9" s="267" t="s">
        <v>3</v>
      </c>
      <c r="B9" s="268"/>
      <c r="C9" s="268"/>
      <c r="D9" s="268"/>
      <c r="E9" s="268"/>
      <c r="F9" s="271">
        <f>'様式１　茶道参加申込書'!G8</f>
        <v>0</v>
      </c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2"/>
      <c r="U9" s="252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1"/>
      <c r="AK9" s="16"/>
    </row>
    <row r="10" spans="1:37" ht="15" customHeight="1" x14ac:dyDescent="0.2">
      <c r="A10" s="269"/>
      <c r="B10" s="270"/>
      <c r="C10" s="270"/>
      <c r="D10" s="270"/>
      <c r="E10" s="270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4"/>
      <c r="U10" s="252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1"/>
      <c r="AK10" s="16"/>
    </row>
    <row r="11" spans="1:37" ht="15" customHeight="1" x14ac:dyDescent="0.2">
      <c r="A11" s="256" t="s">
        <v>2</v>
      </c>
      <c r="B11" s="257"/>
      <c r="C11" s="257"/>
      <c r="D11" s="257"/>
      <c r="E11" s="257"/>
      <c r="F11" s="258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60"/>
      <c r="U11" s="44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"/>
      <c r="AK11" s="16"/>
    </row>
    <row r="12" spans="1:37" ht="15" customHeight="1" x14ac:dyDescent="0.2">
      <c r="A12" s="267" t="s">
        <v>14</v>
      </c>
      <c r="B12" s="268"/>
      <c r="C12" s="268"/>
      <c r="D12" s="268"/>
      <c r="E12" s="268"/>
      <c r="F12" s="277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9"/>
      <c r="U12" s="36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"/>
      <c r="AK12" s="16"/>
    </row>
    <row r="13" spans="1:37" ht="15" customHeight="1" thickBot="1" x14ac:dyDescent="0.25">
      <c r="A13" s="275"/>
      <c r="B13" s="276"/>
      <c r="C13" s="276"/>
      <c r="D13" s="276"/>
      <c r="E13" s="276"/>
      <c r="F13" s="280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2"/>
      <c r="U13" s="36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"/>
      <c r="AK13" s="16"/>
    </row>
    <row r="14" spans="1:37" ht="12" customHeight="1" x14ac:dyDescent="0.2">
      <c r="A14" s="1"/>
      <c r="B14" s="1"/>
      <c r="C14" s="1"/>
      <c r="D14" s="1"/>
      <c r="E14" s="1"/>
      <c r="F14" s="1"/>
      <c r="G14" s="1"/>
      <c r="H14" s="7"/>
      <c r="I14" s="7"/>
      <c r="J14" s="7"/>
      <c r="K14" s="7"/>
      <c r="L14" s="7"/>
      <c r="M14" s="7"/>
      <c r="N14" s="7"/>
      <c r="O14" s="7"/>
      <c r="P14" s="7"/>
      <c r="Q14" s="7"/>
      <c r="R14" s="1"/>
      <c r="S14" s="1"/>
      <c r="T14" s="1"/>
      <c r="U14" s="1"/>
      <c r="V14" s="1"/>
      <c r="W14" s="1"/>
      <c r="X14" s="1"/>
      <c r="Y14" s="1"/>
      <c r="Z14" s="17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6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47"/>
      <c r="V15" s="247"/>
      <c r="W15" s="247"/>
      <c r="X15" s="247"/>
      <c r="Y15" s="1"/>
      <c r="Z15" s="17"/>
      <c r="AA15" s="1"/>
      <c r="AB15" s="1"/>
      <c r="AC15" s="296" t="s">
        <v>23</v>
      </c>
      <c r="AD15" s="296"/>
      <c r="AE15" s="296"/>
      <c r="AF15" s="296"/>
      <c r="AG15" s="296"/>
      <c r="AH15" s="296"/>
      <c r="AI15" s="296"/>
      <c r="AJ15" s="1"/>
      <c r="AK15" s="16"/>
    </row>
    <row r="16" spans="1:37" ht="15" customHeight="1" thickBot="1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46"/>
      <c r="T16" s="246"/>
      <c r="U16" s="245"/>
      <c r="V16" s="245"/>
      <c r="W16" s="245"/>
      <c r="X16" s="245"/>
      <c r="Y16" s="1"/>
      <c r="Z16" s="17"/>
      <c r="AA16" s="1"/>
      <c r="AB16" s="1"/>
      <c r="AC16" s="295" t="s">
        <v>0</v>
      </c>
      <c r="AD16" s="247"/>
      <c r="AE16" s="247"/>
      <c r="AF16" s="293">
        <f>LEN(SUBSTITUTE(A17,CHAR(10),""))</f>
        <v>0</v>
      </c>
      <c r="AG16" s="293"/>
      <c r="AH16" s="293"/>
      <c r="AI16" s="294"/>
      <c r="AJ16" s="1"/>
    </row>
    <row r="17" spans="1:36" ht="15" customHeight="1" x14ac:dyDescent="0.2">
      <c r="A17" s="283"/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5"/>
      <c r="AJ17" s="1"/>
    </row>
    <row r="18" spans="1:36" ht="15" customHeight="1" x14ac:dyDescent="0.2">
      <c r="A18" s="286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8"/>
      <c r="AJ18" s="1"/>
    </row>
    <row r="19" spans="1:36" ht="15" customHeight="1" x14ac:dyDescent="0.2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8"/>
      <c r="AJ19" s="1"/>
    </row>
    <row r="20" spans="1:36" ht="15" customHeight="1" x14ac:dyDescent="0.2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8"/>
      <c r="AJ20" s="1"/>
    </row>
    <row r="21" spans="1:36" ht="15" customHeight="1" x14ac:dyDescent="0.2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8"/>
      <c r="AJ21" s="1"/>
    </row>
    <row r="22" spans="1:36" ht="15" customHeight="1" x14ac:dyDescent="0.2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8"/>
      <c r="AJ22" s="1"/>
    </row>
    <row r="23" spans="1:36" ht="15" customHeight="1" x14ac:dyDescent="0.2">
      <c r="A23" s="286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8"/>
      <c r="AJ23" s="1"/>
    </row>
    <row r="24" spans="1:36" ht="15" customHeight="1" x14ac:dyDescent="0.2">
      <c r="A24" s="286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8"/>
      <c r="AJ24" s="1"/>
    </row>
    <row r="25" spans="1:36" ht="15" customHeight="1" x14ac:dyDescent="0.2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8"/>
      <c r="AJ25" s="1"/>
    </row>
    <row r="26" spans="1:36" ht="15" customHeight="1" x14ac:dyDescent="0.2">
      <c r="A26" s="286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8"/>
      <c r="AJ26" s="1"/>
    </row>
    <row r="27" spans="1:36" ht="15" customHeight="1" x14ac:dyDescent="0.2">
      <c r="A27" s="286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8"/>
      <c r="AJ27" s="1"/>
    </row>
    <row r="28" spans="1:36" ht="15" customHeight="1" x14ac:dyDescent="0.2">
      <c r="A28" s="286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8"/>
      <c r="AJ28" s="1"/>
    </row>
    <row r="29" spans="1:36" ht="15" customHeight="1" x14ac:dyDescent="0.2">
      <c r="A29" s="286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8"/>
      <c r="AJ29" s="1"/>
    </row>
    <row r="30" spans="1:36" ht="15" customHeight="1" x14ac:dyDescent="0.2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8"/>
      <c r="AJ30" s="1"/>
    </row>
    <row r="31" spans="1:36" ht="15" customHeight="1" x14ac:dyDescent="0.2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8"/>
      <c r="AJ31" s="1"/>
    </row>
    <row r="32" spans="1:36" ht="15" customHeight="1" thickBot="1" x14ac:dyDescent="0.25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1"/>
      <c r="AJ32" s="1"/>
    </row>
    <row r="33" spans="1:36" ht="15" customHeight="1" x14ac:dyDescent="0.15">
      <c r="A33" s="266"/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5" customHeight="1" x14ac:dyDescent="0.2">
      <c r="A34" s="242" t="s">
        <v>64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1"/>
      <c r="AD34" s="1"/>
      <c r="AE34" s="1"/>
      <c r="AF34" s="1"/>
      <c r="AG34" s="1"/>
      <c r="AH34" s="1"/>
      <c r="AI34" s="1"/>
      <c r="AJ34" s="1"/>
    </row>
    <row r="35" spans="1:36" ht="27.6" customHeight="1" x14ac:dyDescent="0.2">
      <c r="A35" s="244" t="s">
        <v>70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</row>
    <row r="36" spans="1:36" ht="28.2" customHeight="1" x14ac:dyDescent="0.2">
      <c r="A36" s="263" t="s">
        <v>87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2.6" customHeight="1" x14ac:dyDescent="0.2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2.6" customHeight="1" x14ac:dyDescent="0.2">
      <c r="A38" s="264" t="s">
        <v>86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1"/>
      <c r="AC38" s="1"/>
      <c r="AD38" s="1"/>
      <c r="AE38" s="1"/>
      <c r="AF38" s="1"/>
      <c r="AG38" s="1"/>
      <c r="AH38" s="1"/>
      <c r="AI38" s="1"/>
      <c r="AJ38" s="1"/>
    </row>
    <row r="41" spans="1:36" x14ac:dyDescent="0.2">
      <c r="B41" s="4"/>
    </row>
  </sheetData>
  <mergeCells count="29">
    <mergeCell ref="A35:AJ35"/>
    <mergeCell ref="A36:AA36"/>
    <mergeCell ref="A37:AA37"/>
    <mergeCell ref="A38:AA38"/>
    <mergeCell ref="A2:O2"/>
    <mergeCell ref="A33:X33"/>
    <mergeCell ref="A9:E10"/>
    <mergeCell ref="F9:T10"/>
    <mergeCell ref="A12:E13"/>
    <mergeCell ref="F12:T13"/>
    <mergeCell ref="A17:AI32"/>
    <mergeCell ref="T2:V2"/>
    <mergeCell ref="AF16:AI16"/>
    <mergeCell ref="AC16:AE16"/>
    <mergeCell ref="AC15:AI15"/>
    <mergeCell ref="A6:E7"/>
    <mergeCell ref="P6:Y6"/>
    <mergeCell ref="A34:AB34"/>
    <mergeCell ref="A3:N4"/>
    <mergeCell ref="U16:X16"/>
    <mergeCell ref="S16:T16"/>
    <mergeCell ref="U15:X15"/>
    <mergeCell ref="A8:E8"/>
    <mergeCell ref="F8:T8"/>
    <mergeCell ref="U9:AI10"/>
    <mergeCell ref="U8:AI8"/>
    <mergeCell ref="A11:E11"/>
    <mergeCell ref="F11:T11"/>
    <mergeCell ref="F6:O7"/>
  </mergeCells>
  <phoneticPr fontId="2" type="Hiragana" alignment="distributed"/>
  <conditionalFormatting sqref="A17:AI32">
    <cfRule type="cellIs" dxfId="5" priority="1" stopIfTrue="1" operator="equal">
      <formula>""</formula>
    </cfRule>
  </conditionalFormatting>
  <conditionalFormatting sqref="F8:T13">
    <cfRule type="cellIs" dxfId="4" priority="2" stopIfTrue="1" operator="equal">
      <formula>""</formula>
    </cfRule>
  </conditionalFormatting>
  <conditionalFormatting sqref="F9:T10">
    <cfRule type="cellIs" dxfId="3" priority="4" operator="equal">
      <formula>""</formula>
    </cfRule>
  </conditionalFormatting>
  <pageMargins left="0.78740157480314965" right="0.78740157480314965" top="1.1811023622047245" bottom="0.98425196850393704" header="0.31496062992125984" footer="0.31496062992125984"/>
  <pageSetup paperSize="9" scale="98" orientation="portrait" horizontalDpi="4294967293" r:id="rId1"/>
  <ignoredErrors>
    <ignoredError sqref="AF16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F4"/>
  <sheetViews>
    <sheetView workbookViewId="0">
      <selection activeCell="F4" sqref="F4"/>
    </sheetView>
  </sheetViews>
  <sheetFormatPr defaultRowHeight="13.2" x14ac:dyDescent="0.2"/>
  <cols>
    <col min="2" max="3" width="26.44140625" customWidth="1"/>
    <col min="4" max="4" width="17.88671875" customWidth="1"/>
    <col min="5" max="5" width="35.6640625" customWidth="1"/>
    <col min="6" max="6" width="24.44140625" customWidth="1"/>
  </cols>
  <sheetData>
    <row r="3" spans="2:6" ht="27" customHeight="1" x14ac:dyDescent="0.2">
      <c r="B3" t="s">
        <v>65</v>
      </c>
      <c r="C3" t="s">
        <v>66</v>
      </c>
      <c r="D3" t="s">
        <v>67</v>
      </c>
      <c r="E3" t="s">
        <v>68</v>
      </c>
      <c r="F3" t="s">
        <v>69</v>
      </c>
    </row>
    <row r="4" spans="2:6" ht="27" customHeight="1" x14ac:dyDescent="0.2">
      <c r="B4">
        <f>'様式１　茶道参加申込書'!G8</f>
        <v>0</v>
      </c>
      <c r="C4">
        <f>'様式１　茶道参加申込書'!G7</f>
        <v>0</v>
      </c>
      <c r="D4">
        <f>'様式１　茶道参加申込書'!G15</f>
        <v>0</v>
      </c>
      <c r="E4">
        <f>'様式１　茶道参加申込書'!G17</f>
        <v>0</v>
      </c>
      <c r="F4" s="83">
        <f>'様式１　茶道参加申込書'!AA15</f>
        <v>0</v>
      </c>
    </row>
  </sheetData>
  <phoneticPr fontId="1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33"/>
  <sheetViews>
    <sheetView zoomScaleNormal="100" workbookViewId="0">
      <selection activeCell="B2" sqref="B2:U2"/>
    </sheetView>
  </sheetViews>
  <sheetFormatPr defaultColWidth="9" defaultRowHeight="13.2" x14ac:dyDescent="0.2"/>
  <cols>
    <col min="1" max="1" width="2.33203125" style="5" customWidth="1"/>
    <col min="2" max="21" width="4.88671875" style="5" customWidth="1"/>
    <col min="22" max="22" width="1.77734375" style="5" customWidth="1"/>
    <col min="23" max="23" width="16" style="5" customWidth="1"/>
    <col min="24" max="16384" width="9" style="5"/>
  </cols>
  <sheetData>
    <row r="1" spans="2:37" ht="14.4" x14ac:dyDescent="0.2">
      <c r="B1" s="299" t="s">
        <v>24</v>
      </c>
      <c r="C1" s="299"/>
      <c r="D1" s="299" t="s">
        <v>62</v>
      </c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41"/>
    </row>
    <row r="2" spans="2:37" ht="30" customHeight="1" x14ac:dyDescent="0.2">
      <c r="B2" s="299" t="s">
        <v>17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</row>
    <row r="3" spans="2:37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4" t="s">
        <v>9</v>
      </c>
      <c r="S3" s="6"/>
      <c r="T3" s="6"/>
      <c r="U3" s="6"/>
    </row>
    <row r="4" spans="2:37" ht="30" customHeight="1" thickBot="1" x14ac:dyDescent="0.25">
      <c r="B4" s="301"/>
      <c r="C4" s="301"/>
      <c r="D4" s="302"/>
      <c r="E4" s="302"/>
      <c r="F4" s="302"/>
      <c r="G4" s="6"/>
      <c r="H4" s="6"/>
      <c r="I4" s="6"/>
      <c r="J4" s="6"/>
      <c r="K4" s="306"/>
      <c r="L4" s="306"/>
      <c r="M4" s="304">
        <f>'様式２　紹介文入力シート'!F6</f>
        <v>0</v>
      </c>
      <c r="N4" s="304"/>
      <c r="O4" s="305"/>
      <c r="P4" s="303" t="s">
        <v>20</v>
      </c>
      <c r="Q4" s="303"/>
      <c r="R4" s="300"/>
      <c r="S4" s="300"/>
      <c r="T4" s="300"/>
      <c r="U4" s="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5" spans="2:37" ht="15" customHeight="1" x14ac:dyDescent="0.2">
      <c r="B5" s="315" t="s">
        <v>10</v>
      </c>
      <c r="C5" s="316"/>
      <c r="D5" s="324">
        <f>'様式２　紹介文入力シート'!F8</f>
        <v>0</v>
      </c>
      <c r="E5" s="325"/>
      <c r="F5" s="325"/>
      <c r="G5" s="325"/>
      <c r="H5" s="325"/>
      <c r="I5" s="325"/>
      <c r="J5" s="325"/>
      <c r="K5" s="326"/>
      <c r="L5" s="307" t="s">
        <v>2</v>
      </c>
      <c r="M5" s="308"/>
      <c r="N5" s="311">
        <f>'様式２　紹介文入力シート'!F11</f>
        <v>0</v>
      </c>
      <c r="O5" s="312"/>
      <c r="P5" s="312"/>
      <c r="Q5" s="312"/>
      <c r="R5" s="312"/>
      <c r="S5" s="312"/>
      <c r="T5" s="313"/>
      <c r="U5" s="42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2:37" ht="36" customHeight="1" thickBot="1" x14ac:dyDescent="0.25">
      <c r="B6" s="322" t="s">
        <v>11</v>
      </c>
      <c r="C6" s="323"/>
      <c r="D6" s="327">
        <f>'様式２　紹介文入力シート'!F9</f>
        <v>0</v>
      </c>
      <c r="E6" s="327"/>
      <c r="F6" s="327"/>
      <c r="G6" s="327"/>
      <c r="H6" s="327"/>
      <c r="I6" s="327"/>
      <c r="J6" s="327"/>
      <c r="K6" s="327"/>
      <c r="L6" s="275" t="s">
        <v>14</v>
      </c>
      <c r="M6" s="276"/>
      <c r="N6" s="309">
        <f>'様式２　紹介文入力シート'!F12</f>
        <v>0</v>
      </c>
      <c r="O6" s="310"/>
      <c r="P6" s="310"/>
      <c r="Q6" s="310"/>
      <c r="R6" s="310"/>
      <c r="S6" s="310"/>
      <c r="T6" s="310"/>
      <c r="U6" s="43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</row>
    <row r="7" spans="2:37" ht="17.25" customHeight="1" x14ac:dyDescent="0.2">
      <c r="B7" s="319"/>
      <c r="C7" s="319"/>
      <c r="D7" s="321"/>
      <c r="E7" s="321"/>
      <c r="F7" s="321"/>
      <c r="G7" s="321"/>
      <c r="H7" s="321"/>
      <c r="I7" s="321"/>
      <c r="J7" s="321"/>
      <c r="K7" s="321"/>
      <c r="L7" s="320"/>
      <c r="M7" s="320"/>
      <c r="N7" s="320"/>
      <c r="O7" s="320"/>
      <c r="P7" s="320"/>
      <c r="Q7" s="320"/>
      <c r="R7" s="320"/>
      <c r="S7" s="320"/>
      <c r="T7" s="320"/>
      <c r="U7" s="19"/>
      <c r="V7" s="25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5"/>
    </row>
    <row r="8" spans="2:37" ht="24.75" customHeight="1" x14ac:dyDescent="0.2">
      <c r="B8" s="314"/>
      <c r="C8" s="314"/>
      <c r="D8" s="317"/>
      <c r="E8" s="317"/>
      <c r="F8" s="317"/>
      <c r="G8" s="317"/>
      <c r="H8" s="317"/>
      <c r="I8" s="317"/>
      <c r="J8" s="317"/>
      <c r="K8" s="317"/>
      <c r="L8" s="318" t="str">
        <f>CONCATENATE('様式２　紹介文入力シート'!V12,'様式２　紹介文入力シート'!Z12,'様式２　紹介文入力シート'!AA12,'様式２　紹介文入力シート'!AE12,'様式２　紹介文入力シート'!AF12)</f>
        <v/>
      </c>
      <c r="M8" s="318"/>
      <c r="N8" s="318"/>
      <c r="O8" s="318"/>
      <c r="P8" s="318"/>
      <c r="Q8" s="318"/>
      <c r="R8" s="318"/>
      <c r="S8" s="318"/>
      <c r="T8" s="318"/>
      <c r="U8" s="19"/>
      <c r="V8" s="26"/>
      <c r="W8" s="27"/>
      <c r="X8" s="27"/>
      <c r="Y8" s="27"/>
      <c r="Z8" s="27"/>
      <c r="AA8" s="27"/>
      <c r="AB8" s="27"/>
      <c r="AC8" s="27"/>
      <c r="AD8" s="27"/>
      <c r="AE8" s="27"/>
      <c r="AF8" s="27" t="s">
        <v>4</v>
      </c>
      <c r="AG8" s="27" t="s">
        <v>8</v>
      </c>
      <c r="AH8" s="27"/>
      <c r="AI8" s="27"/>
      <c r="AJ8" s="27"/>
      <c r="AK8" s="25"/>
    </row>
    <row r="9" spans="2:37" s="14" customFormat="1" ht="9.75" customHeight="1" x14ac:dyDescent="0.2">
      <c r="B9" s="20"/>
      <c r="C9" s="20"/>
      <c r="D9" s="21"/>
      <c r="E9" s="21"/>
      <c r="F9" s="21"/>
      <c r="G9" s="6"/>
      <c r="H9" s="6"/>
      <c r="I9" s="6"/>
      <c r="J9" s="6"/>
      <c r="K9" s="6"/>
      <c r="L9" s="6"/>
      <c r="M9" s="6"/>
      <c r="N9" s="6"/>
      <c r="O9" s="6"/>
      <c r="P9" s="22"/>
      <c r="Q9" s="22"/>
      <c r="R9" s="23"/>
      <c r="S9" s="23"/>
      <c r="T9" s="6"/>
      <c r="U9" s="6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8"/>
    </row>
    <row r="10" spans="2:37" s="14" customFormat="1" ht="13.8" thickBot="1" x14ac:dyDescent="0.25">
      <c r="B10" s="6" t="s">
        <v>18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2:37" ht="15" customHeight="1" x14ac:dyDescent="0.2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  <c r="V11" s="14"/>
      <c r="W11" s="15" t="s">
        <v>1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2:37" s="14" customFormat="1" ht="30" customHeight="1" x14ac:dyDescent="0.2">
      <c r="B12" s="30" t="str">
        <f>MID('様式２　紹介文入力シート'!$A$17,1,1)</f>
        <v/>
      </c>
      <c r="C12" s="31" t="str">
        <f>MID('様式２　紹介文入力シート'!$A$17,2,1)</f>
        <v/>
      </c>
      <c r="D12" s="31" t="str">
        <f>MID('様式２　紹介文入力シート'!$A$17,3,1)</f>
        <v/>
      </c>
      <c r="E12" s="31" t="str">
        <f>MID('様式２　紹介文入力シート'!$A$17,4,1)</f>
        <v/>
      </c>
      <c r="F12" s="31" t="str">
        <f>MID('様式２　紹介文入力シート'!$A$17,5,1)</f>
        <v/>
      </c>
      <c r="G12" s="31" t="str">
        <f>MID('様式２　紹介文入力シート'!$A$17,6,1)</f>
        <v/>
      </c>
      <c r="H12" s="31" t="str">
        <f>MID('様式２　紹介文入力シート'!$A$17,7,1)</f>
        <v/>
      </c>
      <c r="I12" s="31" t="str">
        <f>MID('様式２　紹介文入力シート'!$A$17,8,1)</f>
        <v/>
      </c>
      <c r="J12" s="31" t="str">
        <f>MID('様式２　紹介文入力シート'!$A$17,9,1)</f>
        <v/>
      </c>
      <c r="K12" s="31" t="str">
        <f>MID('様式２　紹介文入力シート'!$A$17,10,1)</f>
        <v/>
      </c>
      <c r="L12" s="31" t="str">
        <f>MID('様式２　紹介文入力シート'!$A$17,11,1)</f>
        <v/>
      </c>
      <c r="M12" s="31" t="str">
        <f>MID('様式２　紹介文入力シート'!$A$17,12,1)</f>
        <v/>
      </c>
      <c r="N12" s="31" t="str">
        <f>MID('様式２　紹介文入力シート'!$A$17,13,1)</f>
        <v/>
      </c>
      <c r="O12" s="31" t="str">
        <f>MID('様式２　紹介文入力シート'!$A$17,14,1)</f>
        <v/>
      </c>
      <c r="P12" s="31" t="str">
        <f>MID('様式２　紹介文入力シート'!$A$17,15,1)</f>
        <v/>
      </c>
      <c r="Q12" s="31" t="str">
        <f>MID('様式２　紹介文入力シート'!$A$17,16,1)</f>
        <v/>
      </c>
      <c r="R12" s="31" t="str">
        <f>MID('様式２　紹介文入力シート'!$A$17,17,1)</f>
        <v/>
      </c>
      <c r="S12" s="31" t="str">
        <f>MID('様式２　紹介文入力シート'!$A$17,18,1)</f>
        <v/>
      </c>
      <c r="T12" s="31" t="str">
        <f>MID('様式２　紹介文入力シート'!$A$17,19,1)</f>
        <v/>
      </c>
      <c r="U12" s="32" t="str">
        <f>MID('様式２　紹介文入力シート'!$A$17,20,1)</f>
        <v/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2:37" ht="15" customHeight="1" x14ac:dyDescent="0.2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2:37" s="14" customFormat="1" ht="30" customHeight="1" x14ac:dyDescent="0.2">
      <c r="B14" s="30" t="str">
        <f>MID('様式２　紹介文入力シート'!$A$17,21,1)</f>
        <v/>
      </c>
      <c r="C14" s="31" t="str">
        <f>MID('様式２　紹介文入力シート'!$A$17,22,1)</f>
        <v/>
      </c>
      <c r="D14" s="31" t="str">
        <f>MID('様式２　紹介文入力シート'!$A$17,23,1)</f>
        <v/>
      </c>
      <c r="E14" s="31" t="str">
        <f>MID('様式２　紹介文入力シート'!$A$17,24,1)</f>
        <v/>
      </c>
      <c r="F14" s="31" t="str">
        <f>MID('様式２　紹介文入力シート'!$A$17,25,1)</f>
        <v/>
      </c>
      <c r="G14" s="31" t="str">
        <f>MID('様式２　紹介文入力シート'!$A$17,26,1)</f>
        <v/>
      </c>
      <c r="H14" s="31" t="str">
        <f>MID('様式２　紹介文入力シート'!$A$17,27,1)</f>
        <v/>
      </c>
      <c r="I14" s="31" t="str">
        <f>MID('様式２　紹介文入力シート'!$A$17,28,1)</f>
        <v/>
      </c>
      <c r="J14" s="31" t="str">
        <f>MID('様式２　紹介文入力シート'!$A$17,29,1)</f>
        <v/>
      </c>
      <c r="K14" s="31" t="str">
        <f>MID('様式２　紹介文入力シート'!$A$17,30,1)</f>
        <v/>
      </c>
      <c r="L14" s="31" t="str">
        <f>MID('様式２　紹介文入力シート'!$A$17,31,1)</f>
        <v/>
      </c>
      <c r="M14" s="31" t="str">
        <f>MID('様式２　紹介文入力シート'!$A$17,32,1)</f>
        <v/>
      </c>
      <c r="N14" s="31" t="str">
        <f>MID('様式２　紹介文入力シート'!$A$17,33,1)</f>
        <v/>
      </c>
      <c r="O14" s="31" t="str">
        <f>MID('様式２　紹介文入力シート'!$A$17,34,1)</f>
        <v/>
      </c>
      <c r="P14" s="31" t="str">
        <f>MID('様式２　紹介文入力シート'!$A$17,35,1)</f>
        <v/>
      </c>
      <c r="Q14" s="31" t="str">
        <f>MID('様式２　紹介文入力シート'!$A$17,36,1)</f>
        <v/>
      </c>
      <c r="R14" s="31" t="str">
        <f>MID('様式２　紹介文入力シート'!$A$17,37,1)</f>
        <v/>
      </c>
      <c r="S14" s="31" t="str">
        <f>MID('様式２　紹介文入力シート'!$A$17,38,1)</f>
        <v/>
      </c>
      <c r="T14" s="31" t="str">
        <f>MID('様式２　紹介文入力シート'!$A$17,39,1)</f>
        <v/>
      </c>
      <c r="U14" s="32" t="str">
        <f>MID('様式２　紹介文入力シート'!$A$17,40,1)</f>
        <v/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2:37" ht="15" customHeight="1" x14ac:dyDescent="0.2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2:37" s="14" customFormat="1" ht="30" customHeight="1" x14ac:dyDescent="0.2">
      <c r="B16" s="30" t="str">
        <f>MID('様式２　紹介文入力シート'!$A$17,41,1)</f>
        <v/>
      </c>
      <c r="C16" s="31" t="str">
        <f>MID('様式２　紹介文入力シート'!$A$17,42,1)</f>
        <v/>
      </c>
      <c r="D16" s="31" t="str">
        <f>MID('様式２　紹介文入力シート'!$A$17,43,1)</f>
        <v/>
      </c>
      <c r="E16" s="31" t="str">
        <f>MID('様式２　紹介文入力シート'!$A$17,44,1)</f>
        <v/>
      </c>
      <c r="F16" s="31" t="str">
        <f>MID('様式２　紹介文入力シート'!$A$17,45,1)</f>
        <v/>
      </c>
      <c r="G16" s="31" t="str">
        <f>MID('様式２　紹介文入力シート'!$A$17,46,1)</f>
        <v/>
      </c>
      <c r="H16" s="31" t="str">
        <f>MID('様式２　紹介文入力シート'!$A$17,47,1)</f>
        <v/>
      </c>
      <c r="I16" s="31" t="str">
        <f>MID('様式２　紹介文入力シート'!$A$17,48,1)</f>
        <v/>
      </c>
      <c r="J16" s="31" t="str">
        <f>MID('様式２　紹介文入力シート'!$A$17,49,1)</f>
        <v/>
      </c>
      <c r="K16" s="31" t="str">
        <f>MID('様式２　紹介文入力シート'!$A$17,50,1)</f>
        <v/>
      </c>
      <c r="L16" s="31" t="str">
        <f>MID('様式２　紹介文入力シート'!$A$17,51,1)</f>
        <v/>
      </c>
      <c r="M16" s="31" t="str">
        <f>MID('様式２　紹介文入力シート'!$A$17,52,1)</f>
        <v/>
      </c>
      <c r="N16" s="31" t="str">
        <f>MID('様式２　紹介文入力シート'!$A$17,53,1)</f>
        <v/>
      </c>
      <c r="O16" s="31" t="str">
        <f>MID('様式２　紹介文入力シート'!$A$17,54,1)</f>
        <v/>
      </c>
      <c r="P16" s="31" t="str">
        <f>MID('様式２　紹介文入力シート'!$A$17,55,1)</f>
        <v/>
      </c>
      <c r="Q16" s="31" t="str">
        <f>MID('様式２　紹介文入力シート'!$A$17,56,1)</f>
        <v/>
      </c>
      <c r="R16" s="31" t="str">
        <f>MID('様式２　紹介文入力シート'!$A$17,57,1)</f>
        <v/>
      </c>
      <c r="S16" s="31" t="str">
        <f>MID('様式２　紹介文入力シート'!$A$17,58,1)</f>
        <v/>
      </c>
      <c r="T16" s="31" t="str">
        <f>MID('様式２　紹介文入力シート'!$A$17,59,1)</f>
        <v/>
      </c>
      <c r="U16" s="32" t="str">
        <f>MID('様式２　紹介文入力シート'!$A$17,60,1)</f>
        <v/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2:36" ht="15" customHeight="1" x14ac:dyDescent="0.2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2:36" s="14" customFormat="1" ht="30" customHeight="1" x14ac:dyDescent="0.2">
      <c r="B18" s="30" t="str">
        <f>MID('様式２　紹介文入力シート'!$A$17,61,1)</f>
        <v/>
      </c>
      <c r="C18" s="31" t="str">
        <f>MID('様式２　紹介文入力シート'!$A$17,62,1)</f>
        <v/>
      </c>
      <c r="D18" s="31" t="str">
        <f>MID('様式２　紹介文入力シート'!$A$17,63,1)</f>
        <v/>
      </c>
      <c r="E18" s="31" t="str">
        <f>MID('様式２　紹介文入力シート'!$A$17,64,1)</f>
        <v/>
      </c>
      <c r="F18" s="31" t="str">
        <f>MID('様式２　紹介文入力シート'!$A$17,65,1)</f>
        <v/>
      </c>
      <c r="G18" s="31" t="str">
        <f>MID('様式２　紹介文入力シート'!$A$17,66,1)</f>
        <v/>
      </c>
      <c r="H18" s="31" t="str">
        <f>MID('様式２　紹介文入力シート'!$A$17,67,1)</f>
        <v/>
      </c>
      <c r="I18" s="31" t="str">
        <f>MID('様式２　紹介文入力シート'!$A$17,68,1)</f>
        <v/>
      </c>
      <c r="J18" s="31" t="str">
        <f>MID('様式２　紹介文入力シート'!$A$17,69,1)</f>
        <v/>
      </c>
      <c r="K18" s="31" t="str">
        <f>MID('様式２　紹介文入力シート'!$A$17,70,1)</f>
        <v/>
      </c>
      <c r="L18" s="31" t="str">
        <f>MID('様式２　紹介文入力シート'!$A$17,71,1)</f>
        <v/>
      </c>
      <c r="M18" s="31" t="str">
        <f>MID('様式２　紹介文入力シート'!$A$17,72,1)</f>
        <v/>
      </c>
      <c r="N18" s="31" t="str">
        <f>MID('様式２　紹介文入力シート'!$A$17,73,1)</f>
        <v/>
      </c>
      <c r="O18" s="31" t="str">
        <f>MID('様式２　紹介文入力シート'!$A$17,74,1)</f>
        <v/>
      </c>
      <c r="P18" s="31" t="str">
        <f>MID('様式２　紹介文入力シート'!$A$17,75,1)</f>
        <v/>
      </c>
      <c r="Q18" s="31" t="str">
        <f>MID('様式２　紹介文入力シート'!$A$17,76,1)</f>
        <v/>
      </c>
      <c r="R18" s="31" t="str">
        <f>MID('様式２　紹介文入力シート'!$A$17,77,1)</f>
        <v/>
      </c>
      <c r="S18" s="31" t="str">
        <f>MID('様式２　紹介文入力シート'!$A$17,78,1)</f>
        <v/>
      </c>
      <c r="T18" s="31" t="str">
        <f>MID('様式２　紹介文入力シート'!$A$17,79,1)</f>
        <v/>
      </c>
      <c r="U18" s="32" t="str">
        <f>MID('様式２　紹介文入力シート'!$A$17,80,1)</f>
        <v/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2:36" ht="15" customHeight="1" x14ac:dyDescent="0.2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2:36" s="14" customFormat="1" ht="30" customHeight="1" x14ac:dyDescent="0.2">
      <c r="B20" s="30" t="str">
        <f>MID('様式２　紹介文入力シート'!$A$17,81,1)</f>
        <v/>
      </c>
      <c r="C20" s="31" t="str">
        <f>MID('様式２　紹介文入力シート'!$A$17,82,1)</f>
        <v/>
      </c>
      <c r="D20" s="31" t="str">
        <f>MID('様式２　紹介文入力シート'!$A$17,83,1)</f>
        <v/>
      </c>
      <c r="E20" s="31" t="str">
        <f>MID('様式２　紹介文入力シート'!$A$17,84,1)</f>
        <v/>
      </c>
      <c r="F20" s="31" t="str">
        <f>MID('様式２　紹介文入力シート'!$A$17,85,1)</f>
        <v/>
      </c>
      <c r="G20" s="31" t="str">
        <f>MID('様式２　紹介文入力シート'!$A$17,86,1)</f>
        <v/>
      </c>
      <c r="H20" s="31" t="str">
        <f>MID('様式２　紹介文入力シート'!$A$17,87,1)</f>
        <v/>
      </c>
      <c r="I20" s="31" t="str">
        <f>MID('様式２　紹介文入力シート'!$A$17,88,1)</f>
        <v/>
      </c>
      <c r="J20" s="31" t="str">
        <f>MID('様式２　紹介文入力シート'!$A$17,89,1)</f>
        <v/>
      </c>
      <c r="K20" s="31" t="str">
        <f>MID('様式２　紹介文入力シート'!$A$17,90,1)</f>
        <v/>
      </c>
      <c r="L20" s="31" t="str">
        <f>MID('様式２　紹介文入力シート'!$A$17,91,1)</f>
        <v/>
      </c>
      <c r="M20" s="31" t="str">
        <f>MID('様式２　紹介文入力シート'!$A$17,92,1)</f>
        <v/>
      </c>
      <c r="N20" s="31" t="str">
        <f>MID('様式２　紹介文入力シート'!$A$17,93,1)</f>
        <v/>
      </c>
      <c r="O20" s="31" t="str">
        <f>MID('様式２　紹介文入力シート'!$A$17,94,1)</f>
        <v/>
      </c>
      <c r="P20" s="31" t="str">
        <f>MID('様式２　紹介文入力シート'!$A$17,95,1)</f>
        <v/>
      </c>
      <c r="Q20" s="31" t="str">
        <f>MID('様式２　紹介文入力シート'!$A$17,96,1)</f>
        <v/>
      </c>
      <c r="R20" s="31" t="str">
        <f>MID('様式２　紹介文入力シート'!$A$17,97,1)</f>
        <v/>
      </c>
      <c r="S20" s="31" t="str">
        <f>MID('様式２　紹介文入力シート'!$A$17,98,1)</f>
        <v/>
      </c>
      <c r="T20" s="31" t="str">
        <f>MID('様式２　紹介文入力シート'!$A$17,99,1)</f>
        <v/>
      </c>
      <c r="U20" s="32" t="str">
        <f>MID('様式２　紹介文入力シート'!$A$17,100,1)</f>
        <v/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2:36" ht="15" customHeight="1" x14ac:dyDescent="0.2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3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2:36" ht="30" customHeight="1" x14ac:dyDescent="0.2">
      <c r="B22" s="30" t="str">
        <f>MID('様式２　紹介文入力シート'!$A$17,101,1)</f>
        <v/>
      </c>
      <c r="C22" s="31" t="str">
        <f>MID('様式２　紹介文入力シート'!$A$17,102,1)</f>
        <v/>
      </c>
      <c r="D22" s="31" t="str">
        <f>MID('様式２　紹介文入力シート'!$A$17,103,1)</f>
        <v/>
      </c>
      <c r="E22" s="31" t="str">
        <f>MID('様式２　紹介文入力シート'!$A$17,104,1)</f>
        <v/>
      </c>
      <c r="F22" s="31" t="str">
        <f>MID('様式２　紹介文入力シート'!$A$17,105,1)</f>
        <v/>
      </c>
      <c r="G22" s="31" t="str">
        <f>MID('様式２　紹介文入力シート'!$A$17,106,1)</f>
        <v/>
      </c>
      <c r="H22" s="31" t="str">
        <f>MID('様式２　紹介文入力シート'!$A$17,107,1)</f>
        <v/>
      </c>
      <c r="I22" s="31" t="str">
        <f>MID('様式２　紹介文入力シート'!$A$17,108,1)</f>
        <v/>
      </c>
      <c r="J22" s="31" t="str">
        <f>MID('様式２　紹介文入力シート'!$A$17,109,1)</f>
        <v/>
      </c>
      <c r="K22" s="31" t="str">
        <f>MID('様式２　紹介文入力シート'!$A$17,110,1)</f>
        <v/>
      </c>
      <c r="L22" s="31" t="str">
        <f>MID('様式２　紹介文入力シート'!$A$17,111,1)</f>
        <v/>
      </c>
      <c r="M22" s="31" t="str">
        <f>MID('様式２　紹介文入力シート'!$A$17,112,1)</f>
        <v/>
      </c>
      <c r="N22" s="31" t="str">
        <f>MID('様式２　紹介文入力シート'!$A$17,113,1)</f>
        <v/>
      </c>
      <c r="O22" s="31" t="str">
        <f>MID('様式２　紹介文入力シート'!$A$17,114,1)</f>
        <v/>
      </c>
      <c r="P22" s="31" t="str">
        <f>MID('様式２　紹介文入力シート'!$A$17,115,1)</f>
        <v/>
      </c>
      <c r="Q22" s="31" t="str">
        <f>MID('様式２　紹介文入力シート'!$A$17,116,1)</f>
        <v/>
      </c>
      <c r="R22" s="31" t="str">
        <f>MID('様式２　紹介文入力シート'!$A$17,117,1)</f>
        <v/>
      </c>
      <c r="S22" s="31" t="str">
        <f>MID('様式２　紹介文入力シート'!$A$17,118,1)</f>
        <v/>
      </c>
      <c r="T22" s="31" t="str">
        <f>MID('様式２　紹介文入力シート'!$A$17,119,1)</f>
        <v/>
      </c>
      <c r="U22" s="32" t="str">
        <f>MID('様式２　紹介文入力シート'!$A$17,120,1)</f>
        <v/>
      </c>
    </row>
    <row r="23" spans="2:36" x14ac:dyDescent="0.2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3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2:36" ht="30" customHeight="1" x14ac:dyDescent="0.2">
      <c r="B24" s="30" t="str">
        <f>MID('様式２　紹介文入力シート'!$A$17,121,1)</f>
        <v/>
      </c>
      <c r="C24" s="31" t="str">
        <f>MID('様式２　紹介文入力シート'!$A$17,122,1)</f>
        <v/>
      </c>
      <c r="D24" s="31" t="str">
        <f>MID('様式２　紹介文入力シート'!$A$17,123,1)</f>
        <v/>
      </c>
      <c r="E24" s="31" t="str">
        <f>MID('様式２　紹介文入力シート'!$A$17,124,1)</f>
        <v/>
      </c>
      <c r="F24" s="31" t="str">
        <f>MID('様式２　紹介文入力シート'!$A$17,125,1)</f>
        <v/>
      </c>
      <c r="G24" s="31" t="str">
        <f>MID('様式２　紹介文入力シート'!$A$17,126,1)</f>
        <v/>
      </c>
      <c r="H24" s="31" t="str">
        <f>MID('様式２　紹介文入力シート'!$A$17,127,1)</f>
        <v/>
      </c>
      <c r="I24" s="31" t="str">
        <f>MID('様式２　紹介文入力シート'!$A$17,128,1)</f>
        <v/>
      </c>
      <c r="J24" s="31" t="str">
        <f>MID('様式２　紹介文入力シート'!$A$17,129,1)</f>
        <v/>
      </c>
      <c r="K24" s="31" t="str">
        <f>MID('様式２　紹介文入力シート'!$A$17,130,1)</f>
        <v/>
      </c>
      <c r="L24" s="31" t="str">
        <f>MID('様式２　紹介文入力シート'!$A$17,131,1)</f>
        <v/>
      </c>
      <c r="M24" s="31" t="str">
        <f>MID('様式２　紹介文入力シート'!$A$17,132,1)</f>
        <v/>
      </c>
      <c r="N24" s="31" t="str">
        <f>MID('様式２　紹介文入力シート'!$A$17,133,1)</f>
        <v/>
      </c>
      <c r="O24" s="31" t="str">
        <f>MID('様式２　紹介文入力シート'!$A$17,134,1)</f>
        <v/>
      </c>
      <c r="P24" s="31" t="str">
        <f>MID('様式２　紹介文入力シート'!$A$17,135,1)</f>
        <v/>
      </c>
      <c r="Q24" s="31" t="str">
        <f>MID('様式２　紹介文入力シート'!$A$17,136,1)</f>
        <v/>
      </c>
      <c r="R24" s="31" t="str">
        <f>MID('様式２　紹介文入力シート'!$A$17,137,1)</f>
        <v/>
      </c>
      <c r="S24" s="31" t="str">
        <f>MID('様式２　紹介文入力シート'!$A$17,138,1)</f>
        <v/>
      </c>
      <c r="T24" s="31" t="str">
        <f>MID('様式２　紹介文入力シート'!$A$17,139,1)</f>
        <v/>
      </c>
      <c r="U24" s="32" t="str">
        <f>MID('様式２　紹介文入力シート'!$A$17,140,1)</f>
        <v/>
      </c>
    </row>
    <row r="25" spans="2:36" ht="15" customHeight="1" x14ac:dyDescent="0.2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3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2:36" ht="30" customHeight="1" x14ac:dyDescent="0.2">
      <c r="B26" s="30" t="str">
        <f>MID('様式２　紹介文入力シート'!$A$17,141,1)</f>
        <v/>
      </c>
      <c r="C26" s="31" t="str">
        <f>MID('様式２　紹介文入力シート'!$A$17,142,1)</f>
        <v/>
      </c>
      <c r="D26" s="31" t="str">
        <f>MID('様式２　紹介文入力シート'!$A$17,143,1)</f>
        <v/>
      </c>
      <c r="E26" s="31" t="str">
        <f>MID('様式２　紹介文入力シート'!$A$17,144,1)</f>
        <v/>
      </c>
      <c r="F26" s="31" t="str">
        <f>MID('様式２　紹介文入力シート'!$A$17,145,1)</f>
        <v/>
      </c>
      <c r="G26" s="31" t="str">
        <f>MID('様式２　紹介文入力シート'!$A$17,146,1)</f>
        <v/>
      </c>
      <c r="H26" s="31" t="str">
        <f>MID('様式２　紹介文入力シート'!$A$17,147,1)</f>
        <v/>
      </c>
      <c r="I26" s="31" t="str">
        <f>MID('様式２　紹介文入力シート'!$A$17,148,1)</f>
        <v/>
      </c>
      <c r="J26" s="31" t="str">
        <f>MID('様式２　紹介文入力シート'!$A$17,149,1)</f>
        <v/>
      </c>
      <c r="K26" s="31" t="str">
        <f>MID('様式２　紹介文入力シート'!$A$17,150,1)</f>
        <v/>
      </c>
      <c r="L26" s="31" t="str">
        <f>MID('様式２　紹介文入力シート'!$A$17,151,1)</f>
        <v/>
      </c>
      <c r="M26" s="31" t="str">
        <f>MID('様式２　紹介文入力シート'!$A$17,152,1)</f>
        <v/>
      </c>
      <c r="N26" s="31" t="str">
        <f>MID('様式２　紹介文入力シート'!$A$17,153,1)</f>
        <v/>
      </c>
      <c r="O26" s="31" t="str">
        <f>MID('様式２　紹介文入力シート'!$A$17,154,1)</f>
        <v/>
      </c>
      <c r="P26" s="31" t="str">
        <f>MID('様式２　紹介文入力シート'!$A$17,155,1)</f>
        <v/>
      </c>
      <c r="Q26" s="31" t="str">
        <f>MID('様式２　紹介文入力シート'!$A$17,156,1)</f>
        <v/>
      </c>
      <c r="R26" s="31" t="str">
        <f>MID('様式２　紹介文入力シート'!$A$17,157,1)</f>
        <v/>
      </c>
      <c r="S26" s="31" t="str">
        <f>MID('様式２　紹介文入力シート'!$A$17,158,1)</f>
        <v/>
      </c>
      <c r="T26" s="31" t="str">
        <f>MID('様式２　紹介文入力シート'!$A$17,159,1)</f>
        <v/>
      </c>
      <c r="U26" s="32" t="str">
        <f>MID('様式２　紹介文入力シート'!$A$17,160,1)</f>
        <v/>
      </c>
    </row>
    <row r="27" spans="2:36" ht="15" customHeight="1" x14ac:dyDescent="0.2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3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2:36" ht="30" customHeight="1" x14ac:dyDescent="0.2">
      <c r="B28" s="30" t="str">
        <f>MID('様式２　紹介文入力シート'!$A$17,161,1)</f>
        <v/>
      </c>
      <c r="C28" s="31" t="str">
        <f>MID('様式２　紹介文入力シート'!$A$17,162,1)</f>
        <v/>
      </c>
      <c r="D28" s="31" t="str">
        <f>MID('様式２　紹介文入力シート'!$A$17,163,1)</f>
        <v/>
      </c>
      <c r="E28" s="31" t="str">
        <f>MID('様式２　紹介文入力シート'!$A$17,164,1)</f>
        <v/>
      </c>
      <c r="F28" s="31" t="str">
        <f>MID('様式２　紹介文入力シート'!$A$17,165,1)</f>
        <v/>
      </c>
      <c r="G28" s="31" t="str">
        <f>MID('様式２　紹介文入力シート'!$A$17,166,1)</f>
        <v/>
      </c>
      <c r="H28" s="31" t="str">
        <f>MID('様式２　紹介文入力シート'!$A$17,167,1)</f>
        <v/>
      </c>
      <c r="I28" s="31" t="str">
        <f>MID('様式２　紹介文入力シート'!$A$17,168,1)</f>
        <v/>
      </c>
      <c r="J28" s="31" t="str">
        <f>MID('様式２　紹介文入力シート'!$A$17,169,1)</f>
        <v/>
      </c>
      <c r="K28" s="31" t="str">
        <f>MID('様式２　紹介文入力シート'!$A$17,170,1)</f>
        <v/>
      </c>
      <c r="L28" s="31" t="str">
        <f>MID('様式２　紹介文入力シート'!$A$17,171,1)</f>
        <v/>
      </c>
      <c r="M28" s="31" t="str">
        <f>MID('様式２　紹介文入力シート'!$A$17,172,1)</f>
        <v/>
      </c>
      <c r="N28" s="31" t="str">
        <f>MID('様式２　紹介文入力シート'!$A$17,173,1)</f>
        <v/>
      </c>
      <c r="O28" s="31" t="str">
        <f>MID('様式２　紹介文入力シート'!$A$17,174,1)</f>
        <v/>
      </c>
      <c r="P28" s="31" t="str">
        <f>MID('様式２　紹介文入力シート'!$A$17,175,1)</f>
        <v/>
      </c>
      <c r="Q28" s="31" t="str">
        <f>MID('様式２　紹介文入力シート'!$A$17,176,1)</f>
        <v/>
      </c>
      <c r="R28" s="31" t="str">
        <f>MID('様式２　紹介文入力シート'!$A$17,177,1)</f>
        <v/>
      </c>
      <c r="S28" s="31" t="str">
        <f>MID('様式２　紹介文入力シート'!$A$17,178,1)</f>
        <v/>
      </c>
      <c r="T28" s="31" t="str">
        <f>MID('様式２　紹介文入力シート'!$A$17,179,1)</f>
        <v/>
      </c>
      <c r="U28" s="32" t="str">
        <f>MID('様式２　紹介文入力シート'!$A$17,180,1)</f>
        <v/>
      </c>
    </row>
    <row r="29" spans="2:36" ht="15" customHeight="1" x14ac:dyDescent="0.2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3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2:36" ht="30" customHeight="1" x14ac:dyDescent="0.2">
      <c r="B30" s="30" t="str">
        <f>MID('様式２　紹介文入力シート'!$A$17,181,1)</f>
        <v/>
      </c>
      <c r="C30" s="31" t="str">
        <f>MID('様式２　紹介文入力シート'!$A$17,182,1)</f>
        <v/>
      </c>
      <c r="D30" s="31" t="str">
        <f>MID('様式２　紹介文入力シート'!$A$17,183,1)</f>
        <v/>
      </c>
      <c r="E30" s="31" t="str">
        <f>MID('様式２　紹介文入力シート'!$A$17,184,1)</f>
        <v/>
      </c>
      <c r="F30" s="31" t="str">
        <f>MID('様式２　紹介文入力シート'!$A$17,185,1)</f>
        <v/>
      </c>
      <c r="G30" s="31" t="str">
        <f>MID('様式２　紹介文入力シート'!$A$17,186,1)</f>
        <v/>
      </c>
      <c r="H30" s="31" t="str">
        <f>MID('様式２　紹介文入力シート'!$A$17,187,1)</f>
        <v/>
      </c>
      <c r="I30" s="31" t="str">
        <f>MID('様式２　紹介文入力シート'!$A$17,188,1)</f>
        <v/>
      </c>
      <c r="J30" s="31" t="str">
        <f>MID('様式２　紹介文入力シート'!$A$17,189,1)</f>
        <v/>
      </c>
      <c r="K30" s="31" t="str">
        <f>MID('様式２　紹介文入力シート'!$A$17,190,1)</f>
        <v/>
      </c>
      <c r="L30" s="31" t="str">
        <f>MID('様式２　紹介文入力シート'!$A$17,191,1)</f>
        <v/>
      </c>
      <c r="M30" s="31" t="str">
        <f>MID('様式２　紹介文入力シート'!$A$17,192,1)</f>
        <v/>
      </c>
      <c r="N30" s="31" t="str">
        <f>MID('様式２　紹介文入力シート'!$A$17,193,1)</f>
        <v/>
      </c>
      <c r="O30" s="31" t="str">
        <f>MID('様式２　紹介文入力シート'!$A$17,194,1)</f>
        <v/>
      </c>
      <c r="P30" s="31" t="str">
        <f>MID('様式２　紹介文入力シート'!$A$17,195,1)</f>
        <v/>
      </c>
      <c r="Q30" s="31" t="str">
        <f>MID('様式２　紹介文入力シート'!$A$17,196,1)</f>
        <v/>
      </c>
      <c r="R30" s="31" t="str">
        <f>MID('様式２　紹介文入力シート'!$A$17,197,1)</f>
        <v/>
      </c>
      <c r="S30" s="31" t="str">
        <f>MID('様式２　紹介文入力シート'!$A$17,198,1)</f>
        <v/>
      </c>
      <c r="T30" s="31" t="str">
        <f>MID('様式２　紹介文入力シート'!$A$17,199,1)</f>
        <v/>
      </c>
      <c r="U30" s="32" t="str">
        <f>MID('様式２　紹介文入力シート'!$A$17,200,1)</f>
        <v/>
      </c>
      <c r="V30" s="37" t="s">
        <v>15</v>
      </c>
    </row>
    <row r="31" spans="2:36" ht="15" customHeight="1" x14ac:dyDescent="0.2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2:36" ht="30" customHeight="1" thickBot="1" x14ac:dyDescent="0.25">
      <c r="B32" s="33" t="str">
        <f>MID('様式２　紹介文入力シート'!$A$17,201,1)</f>
        <v/>
      </c>
      <c r="C32" s="34" t="str">
        <f>MID('様式２　紹介文入力シート'!$A$17,202,1)</f>
        <v/>
      </c>
      <c r="D32" s="34" t="str">
        <f>MID('様式２　紹介文入力シート'!$A$17,203,1)</f>
        <v/>
      </c>
      <c r="E32" s="34" t="str">
        <f>MID('様式２　紹介文入力シート'!$A$17,204,1)</f>
        <v/>
      </c>
      <c r="F32" s="34" t="str">
        <f>MID('様式２　紹介文入力シート'!$A$17,205,1)</f>
        <v/>
      </c>
      <c r="G32" s="34" t="str">
        <f>MID('様式２　紹介文入力シート'!$A$17,206,1)</f>
        <v/>
      </c>
      <c r="H32" s="34" t="str">
        <f>MID('様式２　紹介文入力シート'!$A$17,207,1)</f>
        <v/>
      </c>
      <c r="I32" s="34" t="str">
        <f>MID('様式２　紹介文入力シート'!$A$17,208,1)</f>
        <v/>
      </c>
      <c r="J32" s="34" t="str">
        <f>MID('様式２　紹介文入力シート'!$A$17,209,1)</f>
        <v/>
      </c>
      <c r="K32" s="34" t="str">
        <f>MID('様式２　紹介文入力シート'!$A$17,210,1)</f>
        <v/>
      </c>
      <c r="L32" s="34" t="str">
        <f>MID('様式２　紹介文入力シート'!$A$17,211,1)</f>
        <v/>
      </c>
      <c r="M32" s="34" t="str">
        <f>MID('様式２　紹介文入力シート'!$A$17,212,1)</f>
        <v/>
      </c>
      <c r="N32" s="34" t="str">
        <f>MID('様式２　紹介文入力シート'!$A$17,213,1)</f>
        <v/>
      </c>
      <c r="O32" s="34" t="str">
        <f>MID('様式２　紹介文入力シート'!$A$17,214,1)</f>
        <v/>
      </c>
      <c r="P32" s="34" t="str">
        <f>MID('様式２　紹介文入力シート'!$A$17,215,1)</f>
        <v/>
      </c>
      <c r="Q32" s="34" t="str">
        <f>MID('様式２　紹介文入力シート'!$A$17,216,1)</f>
        <v/>
      </c>
      <c r="R32" s="34" t="str">
        <f>MID('様式２　紹介文入力シート'!$A$17,217,1)</f>
        <v/>
      </c>
      <c r="S32" s="34" t="str">
        <f>MID('様式２　紹介文入力シート'!$A$17,218,1)</f>
        <v/>
      </c>
      <c r="T32" s="34" t="str">
        <f>MID('様式２　紹介文入力シート'!$A$17,219,1)</f>
        <v/>
      </c>
      <c r="U32" s="35" t="str">
        <f>MID('様式２　紹介文入力シート'!$A$17,220,1)</f>
        <v/>
      </c>
    </row>
    <row r="33" spans="2:21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</row>
  </sheetData>
  <mergeCells count="23">
    <mergeCell ref="L5:M5"/>
    <mergeCell ref="L6:M6"/>
    <mergeCell ref="N6:T6"/>
    <mergeCell ref="N5:T5"/>
    <mergeCell ref="B8:C8"/>
    <mergeCell ref="B5:C5"/>
    <mergeCell ref="D8:K8"/>
    <mergeCell ref="L8:T8"/>
    <mergeCell ref="B7:C7"/>
    <mergeCell ref="L7:T7"/>
    <mergeCell ref="D7:K7"/>
    <mergeCell ref="B6:C6"/>
    <mergeCell ref="D5:K5"/>
    <mergeCell ref="D6:K6"/>
    <mergeCell ref="D1:T1"/>
    <mergeCell ref="R4:T4"/>
    <mergeCell ref="B4:C4"/>
    <mergeCell ref="D4:F4"/>
    <mergeCell ref="B2:U2"/>
    <mergeCell ref="P4:Q4"/>
    <mergeCell ref="M4:O4"/>
    <mergeCell ref="K4:L4"/>
    <mergeCell ref="B1:C1"/>
  </mergeCells>
  <phoneticPr fontId="2"/>
  <conditionalFormatting sqref="M4:O4 D5:K8">
    <cfRule type="cellIs" dxfId="2" priority="2" operator="equal">
      <formula>0</formula>
    </cfRule>
  </conditionalFormatting>
  <conditionalFormatting sqref="N5:N6 U5:U6">
    <cfRule type="cellIs" dxfId="1" priority="1" operator="equal">
      <formula>0</formula>
    </cfRule>
  </conditionalFormatting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K33"/>
  <sheetViews>
    <sheetView workbookViewId="0">
      <selection activeCell="B2" sqref="B2:U2"/>
    </sheetView>
  </sheetViews>
  <sheetFormatPr defaultColWidth="9" defaultRowHeight="13.2" x14ac:dyDescent="0.2"/>
  <cols>
    <col min="1" max="1" width="2.33203125" style="5" customWidth="1"/>
    <col min="2" max="21" width="4.88671875" style="5" customWidth="1"/>
    <col min="22" max="22" width="6" style="5" customWidth="1"/>
    <col min="23" max="23" width="16" style="5" customWidth="1"/>
    <col min="24" max="16384" width="9" style="5"/>
  </cols>
  <sheetData>
    <row r="1" spans="2:37" ht="14.4" x14ac:dyDescent="0.2">
      <c r="B1" s="344" t="s">
        <v>26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</row>
    <row r="2" spans="2:37" ht="21.75" customHeight="1" x14ac:dyDescent="0.2">
      <c r="B2" s="344" t="s">
        <v>21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</row>
    <row r="3" spans="2:37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4" t="s">
        <v>9</v>
      </c>
      <c r="S3" s="6"/>
      <c r="T3" s="6"/>
      <c r="U3" s="6"/>
    </row>
    <row r="4" spans="2:37" ht="30" customHeight="1" thickBot="1" x14ac:dyDescent="0.25">
      <c r="B4" s="301"/>
      <c r="C4" s="301"/>
      <c r="D4" s="302"/>
      <c r="E4" s="302"/>
      <c r="F4" s="302"/>
      <c r="G4" s="6"/>
      <c r="H4" s="6"/>
      <c r="I4" s="6"/>
      <c r="J4" s="6"/>
      <c r="K4" s="306"/>
      <c r="L4" s="306"/>
      <c r="M4" s="306">
        <f>'様式２　紹介文入力シート'!F6</f>
        <v>0</v>
      </c>
      <c r="N4" s="306"/>
      <c r="O4" s="345"/>
      <c r="P4" s="303" t="s">
        <v>22</v>
      </c>
      <c r="Q4" s="303"/>
      <c r="R4" s="300"/>
      <c r="S4" s="300"/>
      <c r="T4" s="300"/>
      <c r="U4" s="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5" spans="2:37" ht="15" customHeight="1" x14ac:dyDescent="0.2">
      <c r="B5" s="315" t="s">
        <v>10</v>
      </c>
      <c r="C5" s="316"/>
      <c r="D5" s="324">
        <f>'様式２　紹介文入力シート'!F8</f>
        <v>0</v>
      </c>
      <c r="E5" s="325"/>
      <c r="F5" s="325"/>
      <c r="G5" s="325"/>
      <c r="H5" s="325"/>
      <c r="I5" s="325"/>
      <c r="J5" s="325"/>
      <c r="K5" s="326"/>
      <c r="L5" s="336"/>
      <c r="M5" s="336"/>
      <c r="N5" s="338" t="str">
        <f>IF('様式２　紹介文入力シート'!U9="","",'様式２　紹介文入力シート'!U9)</f>
        <v/>
      </c>
      <c r="O5" s="338"/>
      <c r="P5" s="338"/>
      <c r="Q5" s="338"/>
      <c r="R5" s="338"/>
      <c r="S5" s="338"/>
      <c r="T5" s="339"/>
      <c r="U5" s="6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2:37" ht="27" customHeight="1" thickBot="1" x14ac:dyDescent="0.25">
      <c r="B6" s="322" t="s">
        <v>11</v>
      </c>
      <c r="C6" s="323"/>
      <c r="D6" s="342">
        <f>'様式２　紹介文入力シート'!F9</f>
        <v>0</v>
      </c>
      <c r="E6" s="343"/>
      <c r="F6" s="343"/>
      <c r="G6" s="343"/>
      <c r="H6" s="343"/>
      <c r="I6" s="343"/>
      <c r="J6" s="343"/>
      <c r="K6" s="343"/>
      <c r="L6" s="337"/>
      <c r="M6" s="337"/>
      <c r="N6" s="340"/>
      <c r="O6" s="340"/>
      <c r="P6" s="340"/>
      <c r="Q6" s="340"/>
      <c r="R6" s="340"/>
      <c r="S6" s="340"/>
      <c r="T6" s="341"/>
      <c r="U6" s="6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</row>
    <row r="7" spans="2:37" ht="17.25" customHeight="1" x14ac:dyDescent="0.2">
      <c r="B7" s="307" t="s">
        <v>2</v>
      </c>
      <c r="C7" s="308"/>
      <c r="D7" s="328">
        <f>'様式２　紹介文入力シート'!F11</f>
        <v>0</v>
      </c>
      <c r="E7" s="329"/>
      <c r="F7" s="329"/>
      <c r="G7" s="329"/>
      <c r="H7" s="329"/>
      <c r="I7" s="329"/>
      <c r="J7" s="329"/>
      <c r="K7" s="330"/>
      <c r="L7" s="320"/>
      <c r="M7" s="320"/>
      <c r="N7" s="320"/>
      <c r="O7" s="320"/>
      <c r="P7" s="320"/>
      <c r="Q7" s="320"/>
      <c r="R7" s="320"/>
      <c r="S7" s="320"/>
      <c r="T7" s="320"/>
      <c r="U7" s="19"/>
      <c r="V7" s="25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5"/>
    </row>
    <row r="8" spans="2:37" ht="33.75" customHeight="1" thickBot="1" x14ac:dyDescent="0.25">
      <c r="B8" s="275" t="s">
        <v>5</v>
      </c>
      <c r="C8" s="276"/>
      <c r="D8" s="331">
        <f>'様式２　紹介文入力シート'!F12</f>
        <v>0</v>
      </c>
      <c r="E8" s="331"/>
      <c r="F8" s="331"/>
      <c r="G8" s="331"/>
      <c r="H8" s="331"/>
      <c r="I8" s="331"/>
      <c r="J8" s="331"/>
      <c r="K8" s="332"/>
      <c r="L8" s="333" t="str">
        <f>CONCATENATE('様式２　紹介文入力シート'!V12,'様式２　紹介文入力シート'!Z12,'様式２　紹介文入力シート'!AA12,'様式２　紹介文入力シート'!AE12,'様式２　紹介文入力シート'!AF12)</f>
        <v/>
      </c>
      <c r="M8" s="334"/>
      <c r="N8" s="334"/>
      <c r="O8" s="334"/>
      <c r="P8" s="334"/>
      <c r="Q8" s="334"/>
      <c r="R8" s="334"/>
      <c r="S8" s="334"/>
      <c r="T8" s="335"/>
      <c r="U8" s="19"/>
      <c r="V8" s="26"/>
      <c r="W8" s="27"/>
      <c r="X8" s="27"/>
      <c r="Y8" s="27"/>
      <c r="Z8" s="27"/>
      <c r="AA8" s="27"/>
      <c r="AB8" s="27"/>
      <c r="AC8" s="27"/>
      <c r="AD8" s="27"/>
      <c r="AE8" s="27"/>
      <c r="AF8" s="27" t="s">
        <v>4</v>
      </c>
      <c r="AG8" s="27" t="s">
        <v>8</v>
      </c>
      <c r="AH8" s="27"/>
      <c r="AI8" s="27"/>
      <c r="AJ8" s="27"/>
      <c r="AK8" s="25"/>
    </row>
    <row r="9" spans="2:37" s="14" customFormat="1" ht="9.75" customHeight="1" x14ac:dyDescent="0.2">
      <c r="B9" s="20"/>
      <c r="C9" s="20"/>
      <c r="D9" s="21"/>
      <c r="E9" s="21"/>
      <c r="F9" s="21"/>
      <c r="G9" s="6"/>
      <c r="H9" s="6"/>
      <c r="I9" s="6"/>
      <c r="J9" s="6"/>
      <c r="K9" s="6"/>
      <c r="L9" s="6"/>
      <c r="M9" s="6"/>
      <c r="N9" s="6"/>
      <c r="O9" s="6"/>
      <c r="P9" s="22"/>
      <c r="Q9" s="22"/>
      <c r="R9" s="23"/>
      <c r="S9" s="23"/>
      <c r="T9" s="6"/>
      <c r="U9" s="6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8"/>
    </row>
    <row r="10" spans="2:37" s="14" customFormat="1" ht="13.8" thickBot="1" x14ac:dyDescent="0.25">
      <c r="B10" s="6" t="s">
        <v>16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2:37" ht="15" customHeight="1" x14ac:dyDescent="0.2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  <c r="V11" s="14"/>
      <c r="W11" s="15" t="s">
        <v>1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2:37" s="14" customFormat="1" ht="30" customHeight="1" x14ac:dyDescent="0.2">
      <c r="B12" s="30" t="str">
        <f>MID('様式２　紹介文入力シート'!$A$17,1,1)</f>
        <v/>
      </c>
      <c r="C12" s="31" t="str">
        <f>MID('様式２　紹介文入力シート'!$A$17,2,1)</f>
        <v/>
      </c>
      <c r="D12" s="31" t="str">
        <f>MID('様式２　紹介文入力シート'!$A$17,3,1)</f>
        <v/>
      </c>
      <c r="E12" s="31" t="str">
        <f>MID('様式２　紹介文入力シート'!$A$17,4,1)</f>
        <v/>
      </c>
      <c r="F12" s="31" t="str">
        <f>MID('様式２　紹介文入力シート'!$A$17,5,1)</f>
        <v/>
      </c>
      <c r="G12" s="31" t="str">
        <f>MID('様式２　紹介文入力シート'!$A$17,6,1)</f>
        <v/>
      </c>
      <c r="H12" s="31" t="str">
        <f>MID('様式２　紹介文入力シート'!$A$17,7,1)</f>
        <v/>
      </c>
      <c r="I12" s="31" t="str">
        <f>MID('様式２　紹介文入力シート'!$A$17,8,1)</f>
        <v/>
      </c>
      <c r="J12" s="31" t="str">
        <f>MID('様式２　紹介文入力シート'!$A$17,9,1)</f>
        <v/>
      </c>
      <c r="K12" s="31" t="str">
        <f>MID('様式２　紹介文入力シート'!$A$17,10,1)</f>
        <v/>
      </c>
      <c r="L12" s="31" t="str">
        <f>MID('様式２　紹介文入力シート'!$A$17,11,1)</f>
        <v/>
      </c>
      <c r="M12" s="31" t="str">
        <f>MID('様式２　紹介文入力シート'!$A$17,12,1)</f>
        <v/>
      </c>
      <c r="N12" s="31" t="str">
        <f>MID('様式２　紹介文入力シート'!$A$17,13,1)</f>
        <v/>
      </c>
      <c r="O12" s="31" t="str">
        <f>MID('様式２　紹介文入力シート'!$A$17,14,1)</f>
        <v/>
      </c>
      <c r="P12" s="31" t="str">
        <f>MID('様式２　紹介文入力シート'!$A$17,15,1)</f>
        <v/>
      </c>
      <c r="Q12" s="31" t="str">
        <f>MID('様式２　紹介文入力シート'!$A$17,16,1)</f>
        <v/>
      </c>
      <c r="R12" s="31" t="str">
        <f>MID('様式２　紹介文入力シート'!$A$17,17,1)</f>
        <v/>
      </c>
      <c r="S12" s="31" t="str">
        <f>MID('様式２　紹介文入力シート'!$A$17,18,1)</f>
        <v/>
      </c>
      <c r="T12" s="31" t="str">
        <f>MID('様式２　紹介文入力シート'!$A$17,19,1)</f>
        <v/>
      </c>
      <c r="U12" s="32" t="str">
        <f>MID('様式２　紹介文入力シート'!$A$17,20,1)</f>
        <v/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2:37" ht="15" customHeight="1" x14ac:dyDescent="0.2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2:37" s="14" customFormat="1" ht="30" customHeight="1" x14ac:dyDescent="0.2">
      <c r="B14" s="30" t="str">
        <f>MID('様式２　紹介文入力シート'!$A$17,21,1)</f>
        <v/>
      </c>
      <c r="C14" s="31" t="str">
        <f>MID('様式２　紹介文入力シート'!$A$17,22,1)</f>
        <v/>
      </c>
      <c r="D14" s="31" t="str">
        <f>MID('様式２　紹介文入力シート'!$A$17,23,1)</f>
        <v/>
      </c>
      <c r="E14" s="31" t="str">
        <f>MID('様式２　紹介文入力シート'!$A$17,24,1)</f>
        <v/>
      </c>
      <c r="F14" s="31" t="str">
        <f>MID('様式２　紹介文入力シート'!$A$17,25,1)</f>
        <v/>
      </c>
      <c r="G14" s="31" t="str">
        <f>MID('様式２　紹介文入力シート'!$A$17,26,1)</f>
        <v/>
      </c>
      <c r="H14" s="31" t="str">
        <f>MID('様式２　紹介文入力シート'!$A$17,27,1)</f>
        <v/>
      </c>
      <c r="I14" s="31" t="str">
        <f>MID('様式２　紹介文入力シート'!$A$17,28,1)</f>
        <v/>
      </c>
      <c r="J14" s="31" t="str">
        <f>MID('様式２　紹介文入力シート'!$A$17,29,1)</f>
        <v/>
      </c>
      <c r="K14" s="31" t="str">
        <f>MID('様式２　紹介文入力シート'!$A$17,30,1)</f>
        <v/>
      </c>
      <c r="L14" s="31" t="str">
        <f>MID('様式２　紹介文入力シート'!$A$17,31,1)</f>
        <v/>
      </c>
      <c r="M14" s="31" t="str">
        <f>MID('様式２　紹介文入力シート'!$A$17,32,1)</f>
        <v/>
      </c>
      <c r="N14" s="31" t="str">
        <f>MID('様式２　紹介文入力シート'!$A$17,33,1)</f>
        <v/>
      </c>
      <c r="O14" s="31" t="str">
        <f>MID('様式２　紹介文入力シート'!$A$17,34,1)</f>
        <v/>
      </c>
      <c r="P14" s="31" t="str">
        <f>MID('様式２　紹介文入力シート'!$A$17,35,1)</f>
        <v/>
      </c>
      <c r="Q14" s="31" t="str">
        <f>MID('様式２　紹介文入力シート'!$A$17,36,1)</f>
        <v/>
      </c>
      <c r="R14" s="31" t="str">
        <f>MID('様式２　紹介文入力シート'!$A$17,37,1)</f>
        <v/>
      </c>
      <c r="S14" s="31" t="str">
        <f>MID('様式２　紹介文入力シート'!$A$17,38,1)</f>
        <v/>
      </c>
      <c r="T14" s="31" t="str">
        <f>MID('様式２　紹介文入力シート'!$A$17,39,1)</f>
        <v/>
      </c>
      <c r="U14" s="32" t="str">
        <f>MID('様式２　紹介文入力シート'!$A$17,40,1)</f>
        <v/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2:37" ht="15" customHeight="1" x14ac:dyDescent="0.2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2:37" s="14" customFormat="1" ht="30" customHeight="1" x14ac:dyDescent="0.2">
      <c r="B16" s="30" t="str">
        <f>MID('様式２　紹介文入力シート'!$A$17,41,1)</f>
        <v/>
      </c>
      <c r="C16" s="31" t="str">
        <f>MID('様式２　紹介文入力シート'!$A$17,42,1)</f>
        <v/>
      </c>
      <c r="D16" s="31" t="str">
        <f>MID('様式２　紹介文入力シート'!$A$17,43,1)</f>
        <v/>
      </c>
      <c r="E16" s="31" t="str">
        <f>MID('様式２　紹介文入力シート'!$A$17,44,1)</f>
        <v/>
      </c>
      <c r="F16" s="31" t="str">
        <f>MID('様式２　紹介文入力シート'!$A$17,45,1)</f>
        <v/>
      </c>
      <c r="G16" s="31" t="str">
        <f>MID('様式２　紹介文入力シート'!$A$17,46,1)</f>
        <v/>
      </c>
      <c r="H16" s="31" t="str">
        <f>MID('様式２　紹介文入力シート'!$A$17,47,1)</f>
        <v/>
      </c>
      <c r="I16" s="31" t="str">
        <f>MID('様式２　紹介文入力シート'!$A$17,48,1)</f>
        <v/>
      </c>
      <c r="J16" s="31" t="str">
        <f>MID('様式２　紹介文入力シート'!$A$17,49,1)</f>
        <v/>
      </c>
      <c r="K16" s="31" t="str">
        <f>MID('様式２　紹介文入力シート'!$A$17,50,1)</f>
        <v/>
      </c>
      <c r="L16" s="31" t="str">
        <f>MID('様式２　紹介文入力シート'!$A$17,51,1)</f>
        <v/>
      </c>
      <c r="M16" s="31" t="str">
        <f>MID('様式２　紹介文入力シート'!$A$17,52,1)</f>
        <v/>
      </c>
      <c r="N16" s="31" t="str">
        <f>MID('様式２　紹介文入力シート'!$A$17,53,1)</f>
        <v/>
      </c>
      <c r="O16" s="31" t="str">
        <f>MID('様式２　紹介文入力シート'!$A$17,54,1)</f>
        <v/>
      </c>
      <c r="P16" s="31" t="str">
        <f>MID('様式２　紹介文入力シート'!$A$17,55,1)</f>
        <v/>
      </c>
      <c r="Q16" s="31" t="str">
        <f>MID('様式２　紹介文入力シート'!$A$17,56,1)</f>
        <v/>
      </c>
      <c r="R16" s="31" t="str">
        <f>MID('様式２　紹介文入力シート'!$A$17,57,1)</f>
        <v/>
      </c>
      <c r="S16" s="31" t="str">
        <f>MID('様式２　紹介文入力シート'!$A$17,58,1)</f>
        <v/>
      </c>
      <c r="T16" s="31" t="str">
        <f>MID('様式２　紹介文入力シート'!$A$17,59,1)</f>
        <v/>
      </c>
      <c r="U16" s="32" t="str">
        <f>MID('様式２　紹介文入力シート'!$A$17,60,1)</f>
        <v/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2:36" ht="15" customHeight="1" x14ac:dyDescent="0.2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2:36" s="14" customFormat="1" ht="30" customHeight="1" x14ac:dyDescent="0.2">
      <c r="B18" s="30" t="str">
        <f>MID('様式２　紹介文入力シート'!$A$17,61,1)</f>
        <v/>
      </c>
      <c r="C18" s="31" t="str">
        <f>MID('様式２　紹介文入力シート'!$A$17,62,1)</f>
        <v/>
      </c>
      <c r="D18" s="31" t="str">
        <f>MID('様式２　紹介文入力シート'!$A$17,63,1)</f>
        <v/>
      </c>
      <c r="E18" s="31" t="str">
        <f>MID('様式２　紹介文入力シート'!$A$17,64,1)</f>
        <v/>
      </c>
      <c r="F18" s="31" t="str">
        <f>MID('様式２　紹介文入力シート'!$A$17,65,1)</f>
        <v/>
      </c>
      <c r="G18" s="31" t="str">
        <f>MID('様式２　紹介文入力シート'!$A$17,66,1)</f>
        <v/>
      </c>
      <c r="H18" s="31" t="str">
        <f>MID('様式２　紹介文入力シート'!$A$17,67,1)</f>
        <v/>
      </c>
      <c r="I18" s="31" t="str">
        <f>MID('様式２　紹介文入力シート'!$A$17,68,1)</f>
        <v/>
      </c>
      <c r="J18" s="31" t="str">
        <f>MID('様式２　紹介文入力シート'!$A$17,69,1)</f>
        <v/>
      </c>
      <c r="K18" s="31" t="str">
        <f>MID('様式２　紹介文入力シート'!$A$17,70,1)</f>
        <v/>
      </c>
      <c r="L18" s="31" t="str">
        <f>MID('様式２　紹介文入力シート'!$A$17,71,1)</f>
        <v/>
      </c>
      <c r="M18" s="31" t="str">
        <f>MID('様式２　紹介文入力シート'!$A$17,72,1)</f>
        <v/>
      </c>
      <c r="N18" s="31" t="str">
        <f>MID('様式２　紹介文入力シート'!$A$17,73,1)</f>
        <v/>
      </c>
      <c r="O18" s="31" t="str">
        <f>MID('様式２　紹介文入力シート'!$A$17,74,1)</f>
        <v/>
      </c>
      <c r="P18" s="31" t="str">
        <f>MID('様式２　紹介文入力シート'!$A$17,75,1)</f>
        <v/>
      </c>
      <c r="Q18" s="31" t="str">
        <f>MID('様式２　紹介文入力シート'!$A$17,76,1)</f>
        <v/>
      </c>
      <c r="R18" s="31" t="str">
        <f>MID('様式２　紹介文入力シート'!$A$17,77,1)</f>
        <v/>
      </c>
      <c r="S18" s="31" t="str">
        <f>MID('様式２　紹介文入力シート'!$A$17,78,1)</f>
        <v/>
      </c>
      <c r="T18" s="31" t="str">
        <f>MID('様式２　紹介文入力シート'!$A$17,79,1)</f>
        <v/>
      </c>
      <c r="U18" s="32" t="str">
        <f>MID('様式２　紹介文入力シート'!$A$17,80,1)</f>
        <v/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2:36" ht="15" customHeight="1" x14ac:dyDescent="0.2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2:36" s="14" customFormat="1" ht="30" customHeight="1" x14ac:dyDescent="0.2">
      <c r="B20" s="30" t="str">
        <f>MID('様式２　紹介文入力シート'!$A$17,81,1)</f>
        <v/>
      </c>
      <c r="C20" s="31" t="str">
        <f>MID('様式２　紹介文入力シート'!$A$17,82,1)</f>
        <v/>
      </c>
      <c r="D20" s="31" t="str">
        <f>MID('様式２　紹介文入力シート'!$A$17,83,1)</f>
        <v/>
      </c>
      <c r="E20" s="31" t="str">
        <f>MID('様式２　紹介文入力シート'!$A$17,84,1)</f>
        <v/>
      </c>
      <c r="F20" s="31" t="str">
        <f>MID('様式２　紹介文入力シート'!$A$17,85,1)</f>
        <v/>
      </c>
      <c r="G20" s="31" t="str">
        <f>MID('様式２　紹介文入力シート'!$A$17,86,1)</f>
        <v/>
      </c>
      <c r="H20" s="31" t="str">
        <f>MID('様式２　紹介文入力シート'!$A$17,87,1)</f>
        <v/>
      </c>
      <c r="I20" s="31" t="str">
        <f>MID('様式２　紹介文入力シート'!$A$17,88,1)</f>
        <v/>
      </c>
      <c r="J20" s="31" t="str">
        <f>MID('様式２　紹介文入力シート'!$A$17,89,1)</f>
        <v/>
      </c>
      <c r="K20" s="31" t="str">
        <f>MID('様式２　紹介文入力シート'!$A$17,90,1)</f>
        <v/>
      </c>
      <c r="L20" s="31" t="str">
        <f>MID('様式２　紹介文入力シート'!$A$17,91,1)</f>
        <v/>
      </c>
      <c r="M20" s="31" t="str">
        <f>MID('様式２　紹介文入力シート'!$A$17,92,1)</f>
        <v/>
      </c>
      <c r="N20" s="31" t="str">
        <f>MID('様式２　紹介文入力シート'!$A$17,93,1)</f>
        <v/>
      </c>
      <c r="O20" s="31" t="str">
        <f>MID('様式２　紹介文入力シート'!$A$17,94,1)</f>
        <v/>
      </c>
      <c r="P20" s="31" t="str">
        <f>MID('様式２　紹介文入力シート'!$A$17,95,1)</f>
        <v/>
      </c>
      <c r="Q20" s="31" t="str">
        <f>MID('様式２　紹介文入力シート'!$A$17,96,1)</f>
        <v/>
      </c>
      <c r="R20" s="31" t="str">
        <f>MID('様式２　紹介文入力シート'!$A$17,97,1)</f>
        <v/>
      </c>
      <c r="S20" s="31" t="str">
        <f>MID('様式２　紹介文入力シート'!$A$17,98,1)</f>
        <v/>
      </c>
      <c r="T20" s="31" t="str">
        <f>MID('様式２　紹介文入力シート'!$A$17,99,1)</f>
        <v/>
      </c>
      <c r="U20" s="32" t="str">
        <f>MID('様式２　紹介文入力シート'!$A$17,100,1)</f>
        <v/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2:36" ht="15" customHeight="1" x14ac:dyDescent="0.2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3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2:36" ht="30" customHeight="1" x14ac:dyDescent="0.2">
      <c r="B22" s="30" t="str">
        <f>MID('様式２　紹介文入力シート'!$A$17,101,1)</f>
        <v/>
      </c>
      <c r="C22" s="31" t="str">
        <f>MID('様式２　紹介文入力シート'!$A$17,102,1)</f>
        <v/>
      </c>
      <c r="D22" s="31" t="str">
        <f>MID('様式２　紹介文入力シート'!$A$17,103,1)</f>
        <v/>
      </c>
      <c r="E22" s="31" t="str">
        <f>MID('様式２　紹介文入力シート'!$A$17,104,1)</f>
        <v/>
      </c>
      <c r="F22" s="31" t="str">
        <f>MID('様式２　紹介文入力シート'!$A$17,105,1)</f>
        <v/>
      </c>
      <c r="G22" s="31" t="str">
        <f>MID('様式２　紹介文入力シート'!$A$17,106,1)</f>
        <v/>
      </c>
      <c r="H22" s="31" t="str">
        <f>MID('様式２　紹介文入力シート'!$A$17,107,1)</f>
        <v/>
      </c>
      <c r="I22" s="31" t="str">
        <f>MID('様式２　紹介文入力シート'!$A$17,108,1)</f>
        <v/>
      </c>
      <c r="J22" s="31" t="str">
        <f>MID('様式２　紹介文入力シート'!$A$17,109,1)</f>
        <v/>
      </c>
      <c r="K22" s="31" t="str">
        <f>MID('様式２　紹介文入力シート'!$A$17,110,1)</f>
        <v/>
      </c>
      <c r="L22" s="31" t="str">
        <f>MID('様式２　紹介文入力シート'!$A$17,111,1)</f>
        <v/>
      </c>
      <c r="M22" s="31" t="str">
        <f>MID('様式２　紹介文入力シート'!$A$17,112,1)</f>
        <v/>
      </c>
      <c r="N22" s="31" t="str">
        <f>MID('様式２　紹介文入力シート'!$A$17,113,1)</f>
        <v/>
      </c>
      <c r="O22" s="31" t="str">
        <f>MID('様式２　紹介文入力シート'!$A$17,114,1)</f>
        <v/>
      </c>
      <c r="P22" s="31" t="str">
        <f>MID('様式２　紹介文入力シート'!$A$17,115,1)</f>
        <v/>
      </c>
      <c r="Q22" s="31" t="str">
        <f>MID('様式２　紹介文入力シート'!$A$17,116,1)</f>
        <v/>
      </c>
      <c r="R22" s="31" t="str">
        <f>MID('様式２　紹介文入力シート'!$A$17,117,1)</f>
        <v/>
      </c>
      <c r="S22" s="31" t="str">
        <f>MID('様式２　紹介文入力シート'!$A$17,118,1)</f>
        <v/>
      </c>
      <c r="T22" s="31" t="str">
        <f>MID('様式２　紹介文入力シート'!$A$17,119,1)</f>
        <v/>
      </c>
      <c r="U22" s="32" t="str">
        <f>MID('様式２　紹介文入力シート'!$A$17,120,1)</f>
        <v/>
      </c>
    </row>
    <row r="23" spans="2:36" x14ac:dyDescent="0.2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3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2:36" ht="30" customHeight="1" x14ac:dyDescent="0.2">
      <c r="B24" s="30" t="str">
        <f>MID('様式２　紹介文入力シート'!$A$17,121,1)</f>
        <v/>
      </c>
      <c r="C24" s="31" t="str">
        <f>MID('様式２　紹介文入力シート'!$A$17,122,1)</f>
        <v/>
      </c>
      <c r="D24" s="31" t="str">
        <f>MID('様式２　紹介文入力シート'!$A$17,123,1)</f>
        <v/>
      </c>
      <c r="E24" s="31" t="str">
        <f>MID('様式２　紹介文入力シート'!$A$17,124,1)</f>
        <v/>
      </c>
      <c r="F24" s="31" t="str">
        <f>MID('様式２　紹介文入力シート'!$A$17,125,1)</f>
        <v/>
      </c>
      <c r="G24" s="31" t="str">
        <f>MID('様式２　紹介文入力シート'!$A$17,126,1)</f>
        <v/>
      </c>
      <c r="H24" s="31" t="str">
        <f>MID('様式２　紹介文入力シート'!$A$17,127,1)</f>
        <v/>
      </c>
      <c r="I24" s="31" t="str">
        <f>MID('様式２　紹介文入力シート'!$A$17,128,1)</f>
        <v/>
      </c>
      <c r="J24" s="31" t="str">
        <f>MID('様式２　紹介文入力シート'!$A$17,129,1)</f>
        <v/>
      </c>
      <c r="K24" s="31" t="str">
        <f>MID('様式２　紹介文入力シート'!$A$17,130,1)</f>
        <v/>
      </c>
      <c r="L24" s="31" t="str">
        <f>MID('様式２　紹介文入力シート'!$A$17,131,1)</f>
        <v/>
      </c>
      <c r="M24" s="31" t="str">
        <f>MID('様式２　紹介文入力シート'!$A$17,132,1)</f>
        <v/>
      </c>
      <c r="N24" s="31" t="str">
        <f>MID('様式２　紹介文入力シート'!$A$17,133,1)</f>
        <v/>
      </c>
      <c r="O24" s="31" t="str">
        <f>MID('様式２　紹介文入力シート'!$A$17,134,1)</f>
        <v/>
      </c>
      <c r="P24" s="31" t="str">
        <f>MID('様式２　紹介文入力シート'!$A$17,135,1)</f>
        <v/>
      </c>
      <c r="Q24" s="31" t="str">
        <f>MID('様式２　紹介文入力シート'!$A$17,136,1)</f>
        <v/>
      </c>
      <c r="R24" s="31" t="str">
        <f>MID('様式２　紹介文入力シート'!$A$17,137,1)</f>
        <v/>
      </c>
      <c r="S24" s="31" t="str">
        <f>MID('様式２　紹介文入力シート'!$A$17,138,1)</f>
        <v/>
      </c>
      <c r="T24" s="31" t="str">
        <f>MID('様式２　紹介文入力シート'!$A$17,139,1)</f>
        <v/>
      </c>
      <c r="U24" s="32" t="str">
        <f>MID('様式２　紹介文入力シート'!$A$17,140,1)</f>
        <v/>
      </c>
    </row>
    <row r="25" spans="2:36" ht="15" customHeight="1" x14ac:dyDescent="0.2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3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2:36" ht="30" customHeight="1" x14ac:dyDescent="0.2">
      <c r="B26" s="30" t="str">
        <f>MID('様式２　紹介文入力シート'!$A$17,141,1)</f>
        <v/>
      </c>
      <c r="C26" s="31" t="str">
        <f>MID('様式２　紹介文入力シート'!$A$17,142,1)</f>
        <v/>
      </c>
      <c r="D26" s="31" t="str">
        <f>MID('様式２　紹介文入力シート'!$A$17,143,1)</f>
        <v/>
      </c>
      <c r="E26" s="31" t="str">
        <f>MID('様式２　紹介文入力シート'!$A$17,144,1)</f>
        <v/>
      </c>
      <c r="F26" s="31" t="str">
        <f>MID('様式２　紹介文入力シート'!$A$17,145,1)</f>
        <v/>
      </c>
      <c r="G26" s="31" t="str">
        <f>MID('様式２　紹介文入力シート'!$A$17,146,1)</f>
        <v/>
      </c>
      <c r="H26" s="31" t="str">
        <f>MID('様式２　紹介文入力シート'!$A$17,147,1)</f>
        <v/>
      </c>
      <c r="I26" s="31" t="str">
        <f>MID('様式２　紹介文入力シート'!$A$17,148,1)</f>
        <v/>
      </c>
      <c r="J26" s="31" t="str">
        <f>MID('様式２　紹介文入力シート'!$A$17,149,1)</f>
        <v/>
      </c>
      <c r="K26" s="31" t="str">
        <f>MID('様式２　紹介文入力シート'!$A$17,150,1)</f>
        <v/>
      </c>
      <c r="L26" s="31" t="str">
        <f>MID('様式２　紹介文入力シート'!$A$17,151,1)</f>
        <v/>
      </c>
      <c r="M26" s="31" t="str">
        <f>MID('様式２　紹介文入力シート'!$A$17,152,1)</f>
        <v/>
      </c>
      <c r="N26" s="31" t="str">
        <f>MID('様式２　紹介文入力シート'!$A$17,153,1)</f>
        <v/>
      </c>
      <c r="O26" s="31" t="str">
        <f>MID('様式２　紹介文入力シート'!$A$17,154,1)</f>
        <v/>
      </c>
      <c r="P26" s="31" t="str">
        <f>MID('様式２　紹介文入力シート'!$A$17,155,1)</f>
        <v/>
      </c>
      <c r="Q26" s="31" t="str">
        <f>MID('様式２　紹介文入力シート'!$A$17,156,1)</f>
        <v/>
      </c>
      <c r="R26" s="31" t="str">
        <f>MID('様式２　紹介文入力シート'!$A$17,157,1)</f>
        <v/>
      </c>
      <c r="S26" s="31" t="str">
        <f>MID('様式２　紹介文入力シート'!$A$17,158,1)</f>
        <v/>
      </c>
      <c r="T26" s="31" t="str">
        <f>MID('様式２　紹介文入力シート'!$A$17,159,1)</f>
        <v/>
      </c>
      <c r="U26" s="32" t="str">
        <f>MID('様式２　紹介文入力シート'!$A$17,160,1)</f>
        <v/>
      </c>
    </row>
    <row r="27" spans="2:36" ht="15" customHeight="1" x14ac:dyDescent="0.2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3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2:36" ht="30" customHeight="1" x14ac:dyDescent="0.2">
      <c r="B28" s="30" t="str">
        <f>MID('様式２　紹介文入力シート'!$A$17,161,1)</f>
        <v/>
      </c>
      <c r="C28" s="31" t="str">
        <f>MID('様式２　紹介文入力シート'!$A$17,162,1)</f>
        <v/>
      </c>
      <c r="D28" s="31" t="str">
        <f>MID('様式２　紹介文入力シート'!$A$17,163,1)</f>
        <v/>
      </c>
      <c r="E28" s="31" t="str">
        <f>MID('様式２　紹介文入力シート'!$A$17,164,1)</f>
        <v/>
      </c>
      <c r="F28" s="31" t="str">
        <f>MID('様式２　紹介文入力シート'!$A$17,165,1)</f>
        <v/>
      </c>
      <c r="G28" s="31" t="str">
        <f>MID('様式２　紹介文入力シート'!$A$17,166,1)</f>
        <v/>
      </c>
      <c r="H28" s="31" t="str">
        <f>MID('様式２　紹介文入力シート'!$A$17,167,1)</f>
        <v/>
      </c>
      <c r="I28" s="31" t="str">
        <f>MID('様式２　紹介文入力シート'!$A$17,168,1)</f>
        <v/>
      </c>
      <c r="J28" s="31" t="str">
        <f>MID('様式２　紹介文入力シート'!$A$17,169,1)</f>
        <v/>
      </c>
      <c r="K28" s="31" t="str">
        <f>MID('様式２　紹介文入力シート'!$A$17,170,1)</f>
        <v/>
      </c>
      <c r="L28" s="31" t="str">
        <f>MID('様式２　紹介文入力シート'!$A$17,171,1)</f>
        <v/>
      </c>
      <c r="M28" s="31" t="str">
        <f>MID('様式２　紹介文入力シート'!$A$17,172,1)</f>
        <v/>
      </c>
      <c r="N28" s="31" t="str">
        <f>MID('様式２　紹介文入力シート'!$A$17,173,1)</f>
        <v/>
      </c>
      <c r="O28" s="31" t="str">
        <f>MID('様式２　紹介文入力シート'!$A$17,174,1)</f>
        <v/>
      </c>
      <c r="P28" s="31" t="str">
        <f>MID('様式２　紹介文入力シート'!$A$17,175,1)</f>
        <v/>
      </c>
      <c r="Q28" s="31" t="str">
        <f>MID('様式２　紹介文入力シート'!$A$17,176,1)</f>
        <v/>
      </c>
      <c r="R28" s="31" t="str">
        <f>MID('様式２　紹介文入力シート'!$A$17,177,1)</f>
        <v/>
      </c>
      <c r="S28" s="31" t="str">
        <f>MID('様式２　紹介文入力シート'!$A$17,178,1)</f>
        <v/>
      </c>
      <c r="T28" s="31" t="str">
        <f>MID('様式２　紹介文入力シート'!$A$17,179,1)</f>
        <v/>
      </c>
      <c r="U28" s="32" t="str">
        <f>MID('様式２　紹介文入力シート'!$A$17,180,1)</f>
        <v/>
      </c>
    </row>
    <row r="29" spans="2:36" ht="15" customHeight="1" x14ac:dyDescent="0.2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3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2:36" ht="30" customHeight="1" x14ac:dyDescent="0.2">
      <c r="B30" s="30" t="str">
        <f>MID('様式２　紹介文入力シート'!$A$17,181,1)</f>
        <v/>
      </c>
      <c r="C30" s="31" t="str">
        <f>MID('様式２　紹介文入力シート'!$A$17,182,1)</f>
        <v/>
      </c>
      <c r="D30" s="31" t="str">
        <f>MID('様式２　紹介文入力シート'!$A$17,183,1)</f>
        <v/>
      </c>
      <c r="E30" s="31" t="str">
        <f>MID('様式２　紹介文入力シート'!$A$17,184,1)</f>
        <v/>
      </c>
      <c r="F30" s="31" t="str">
        <f>MID('様式２　紹介文入力シート'!$A$17,185,1)</f>
        <v/>
      </c>
      <c r="G30" s="31" t="str">
        <f>MID('様式２　紹介文入力シート'!$A$17,186,1)</f>
        <v/>
      </c>
      <c r="H30" s="31" t="str">
        <f>MID('様式２　紹介文入力シート'!$A$17,187,1)</f>
        <v/>
      </c>
      <c r="I30" s="31" t="str">
        <f>MID('様式２　紹介文入力シート'!$A$17,188,1)</f>
        <v/>
      </c>
      <c r="J30" s="31" t="str">
        <f>MID('様式２　紹介文入力シート'!$A$17,189,1)</f>
        <v/>
      </c>
      <c r="K30" s="31" t="str">
        <f>MID('様式２　紹介文入力シート'!$A$17,190,1)</f>
        <v/>
      </c>
      <c r="L30" s="31" t="str">
        <f>MID('様式２　紹介文入力シート'!$A$17,191,1)</f>
        <v/>
      </c>
      <c r="M30" s="31" t="str">
        <f>MID('様式２　紹介文入力シート'!$A$17,192,1)</f>
        <v/>
      </c>
      <c r="N30" s="31" t="str">
        <f>MID('様式２　紹介文入力シート'!$A$17,193,1)</f>
        <v/>
      </c>
      <c r="O30" s="31" t="str">
        <f>MID('様式２　紹介文入力シート'!$A$17,194,1)</f>
        <v/>
      </c>
      <c r="P30" s="31" t="str">
        <f>MID('様式２　紹介文入力シート'!$A$17,195,1)</f>
        <v/>
      </c>
      <c r="Q30" s="31" t="str">
        <f>MID('様式２　紹介文入力シート'!$A$17,196,1)</f>
        <v/>
      </c>
      <c r="R30" s="31" t="str">
        <f>MID('様式２　紹介文入力シート'!$A$17,197,1)</f>
        <v/>
      </c>
      <c r="S30" s="31" t="str">
        <f>MID('様式２　紹介文入力シート'!$A$17,198,1)</f>
        <v/>
      </c>
      <c r="T30" s="31" t="str">
        <f>MID('様式２　紹介文入力シート'!$A$17,199,1)</f>
        <v/>
      </c>
      <c r="U30" s="32" t="str">
        <f>MID('様式２　紹介文入力シート'!$A$17,200,1)</f>
        <v/>
      </c>
      <c r="V30" s="37" t="s">
        <v>15</v>
      </c>
    </row>
    <row r="31" spans="2:36" ht="15" customHeight="1" x14ac:dyDescent="0.2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2:36" ht="30" customHeight="1" thickBot="1" x14ac:dyDescent="0.25">
      <c r="B32" s="33" t="str">
        <f>MID('様式２　紹介文入力シート'!$A$17,201,1)</f>
        <v/>
      </c>
      <c r="C32" s="34" t="str">
        <f>MID('様式２　紹介文入力シート'!$A$17,202,1)</f>
        <v/>
      </c>
      <c r="D32" s="34" t="str">
        <f>MID('様式２　紹介文入力シート'!$A$17,203,1)</f>
        <v/>
      </c>
      <c r="E32" s="34" t="str">
        <f>MID('様式２　紹介文入力シート'!$A$17,204,1)</f>
        <v/>
      </c>
      <c r="F32" s="34" t="str">
        <f>MID('様式２　紹介文入力シート'!$A$17,205,1)</f>
        <v/>
      </c>
      <c r="G32" s="34" t="str">
        <f>MID('様式２　紹介文入力シート'!$A$17,206,1)</f>
        <v/>
      </c>
      <c r="H32" s="34" t="str">
        <f>MID('様式２　紹介文入力シート'!$A$17,207,1)</f>
        <v/>
      </c>
      <c r="I32" s="34" t="str">
        <f>MID('様式２　紹介文入力シート'!$A$17,208,1)</f>
        <v/>
      </c>
      <c r="J32" s="34" t="str">
        <f>MID('様式２　紹介文入力シート'!$A$17,209,1)</f>
        <v/>
      </c>
      <c r="K32" s="34" t="str">
        <f>MID('様式２　紹介文入力シート'!$A$17,220,1)</f>
        <v/>
      </c>
      <c r="L32" s="34" t="str">
        <f>MID('様式２　紹介文入力シート'!$A$17,221,1)</f>
        <v/>
      </c>
      <c r="M32" s="34" t="str">
        <f>MID('様式２　紹介文入力シート'!$A$17,222,1)</f>
        <v/>
      </c>
      <c r="N32" s="34" t="str">
        <f>MID('様式２　紹介文入力シート'!$A$17,223,1)</f>
        <v/>
      </c>
      <c r="O32" s="34" t="str">
        <f>MID('様式２　紹介文入力シート'!$A$17,224,1)</f>
        <v/>
      </c>
      <c r="P32" s="34" t="str">
        <f>MID('様式２　紹介文入力シート'!$A$17,225,1)</f>
        <v/>
      </c>
      <c r="Q32" s="34" t="str">
        <f>MID('様式２　紹介文入力シート'!$A$17,226,1)</f>
        <v/>
      </c>
      <c r="R32" s="34" t="str">
        <f>MID('様式２　紹介文入力シート'!$A$17,227,1)</f>
        <v/>
      </c>
      <c r="S32" s="34" t="str">
        <f>MID('様式２　紹介文入力シート'!$A$17,228,1)</f>
        <v/>
      </c>
      <c r="T32" s="34" t="str">
        <f>MID('様式２　紹介文入力シート'!$A$17,229,1)</f>
        <v/>
      </c>
      <c r="U32" s="35" t="str">
        <f>MID('様式２　紹介文入力シート'!$A$17,230,1)</f>
        <v/>
      </c>
    </row>
    <row r="33" spans="2:21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</row>
  </sheetData>
  <mergeCells count="20">
    <mergeCell ref="B1:U1"/>
    <mergeCell ref="B2:U2"/>
    <mergeCell ref="B4:C4"/>
    <mergeCell ref="D4:F4"/>
    <mergeCell ref="K4:L4"/>
    <mergeCell ref="M4:O4"/>
    <mergeCell ref="P4:Q4"/>
    <mergeCell ref="R4:T4"/>
    <mergeCell ref="B5:C5"/>
    <mergeCell ref="D5:K5"/>
    <mergeCell ref="L5:M6"/>
    <mergeCell ref="N5:T6"/>
    <mergeCell ref="B6:C6"/>
    <mergeCell ref="D6:K6"/>
    <mergeCell ref="B7:C7"/>
    <mergeCell ref="D7:K7"/>
    <mergeCell ref="L7:T7"/>
    <mergeCell ref="B8:C8"/>
    <mergeCell ref="D8:K8"/>
    <mergeCell ref="L8:T8"/>
  </mergeCells>
  <phoneticPr fontId="19"/>
  <conditionalFormatting sqref="M4:O4 D5:K8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　茶道参加申込書</vt:lpstr>
      <vt:lpstr>様式２　紹介文入力シート</vt:lpstr>
      <vt:lpstr>事務局作業用</vt:lpstr>
      <vt:lpstr>印字シート</vt:lpstr>
      <vt:lpstr>バック</vt:lpstr>
      <vt:lpstr>印字シート!Print_Area</vt:lpstr>
      <vt:lpstr>'様式１　茶道参加申込書'!Print_Area</vt:lpstr>
      <vt:lpstr>'様式２　紹介文入力シート'!Print_Area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s-ohta22</dc:creator>
  <cp:lastModifiedBy>太田 早紀</cp:lastModifiedBy>
  <cp:lastPrinted>2020-09-10T10:22:36Z</cp:lastPrinted>
  <dcterms:created xsi:type="dcterms:W3CDTF">2009-12-06T00:44:31Z</dcterms:created>
  <dcterms:modified xsi:type="dcterms:W3CDTF">2026-05-12T01:56:40Z</dcterms:modified>
</cp:coreProperties>
</file>